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Users/paulesajian/EquityStreetCapital Dropbox/Equity Street Capital/5. Publications/Miles Intern Live Stream/"/>
    </mc:Choice>
  </mc:AlternateContent>
  <xr:revisionPtr revIDLastSave="0" documentId="8_{32C6A82B-530A-3A42-ABD7-36AAA96106A7}" xr6:coauthVersionLast="47" xr6:coauthVersionMax="47" xr10:uidLastSave="{00000000-0000-0000-0000-000000000000}"/>
  <bookViews>
    <workbookView xWindow="6620" yWindow="2800" windowWidth="18780" windowHeight="12900" tabRatio="500" activeTab="1" xr2:uid="{00000000-000D-0000-FFFF-FFFF00000000}"/>
  </bookViews>
  <sheets>
    <sheet name="Summary" sheetId="1" r:id="rId1"/>
    <sheet name="Assumptions" sheetId="2" r:id="rId2"/>
    <sheet name="Cash Flow" sheetId="3" r:id="rId3"/>
    <sheet name="Scenarios" sheetId="4" r:id="rId4"/>
    <sheet name="Lease-Up Timeline" sheetId="5" r:id="rId5"/>
    <sheet name="Rent Comps" sheetId="6" r:id="rId6"/>
    <sheet name="IRR Model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4" i="2" l="1"/>
  <c r="B16" i="2" s="1"/>
  <c r="C4" i="3" s="1"/>
  <c r="C6" i="3" s="1"/>
  <c r="C14" i="3" s="1"/>
  <c r="B13" i="2"/>
  <c r="B8" i="2"/>
  <c r="B13" i="1"/>
  <c r="B14" i="1"/>
  <c r="B12" i="2"/>
  <c r="B12" i="1"/>
  <c r="C36" i="7"/>
  <c r="C35" i="7"/>
  <c r="B27" i="7"/>
  <c r="D25" i="7"/>
  <c r="D27" i="7" s="1"/>
  <c r="C25" i="7"/>
  <c r="C27" i="7" s="1"/>
  <c r="B24" i="7"/>
  <c r="C31" i="7" s="1"/>
  <c r="G20" i="7"/>
  <c r="G16" i="7"/>
  <c r="G18" i="7" s="1"/>
  <c r="G13" i="7"/>
  <c r="F13" i="7"/>
  <c r="E13" i="7"/>
  <c r="D13" i="7"/>
  <c r="C13" i="7"/>
  <c r="G12" i="7"/>
  <c r="G25" i="7" s="1"/>
  <c r="F12" i="7"/>
  <c r="F25" i="7" s="1"/>
  <c r="F27" i="7" s="1"/>
  <c r="E12" i="7"/>
  <c r="E25" i="7" s="1"/>
  <c r="E27" i="7" s="1"/>
  <c r="D12" i="7"/>
  <c r="C12" i="7"/>
  <c r="G11" i="7"/>
  <c r="F11" i="7"/>
  <c r="E11" i="7"/>
  <c r="D11" i="7"/>
  <c r="C11" i="7"/>
  <c r="G10" i="7"/>
  <c r="F10" i="7"/>
  <c r="E10" i="7"/>
  <c r="D10" i="7"/>
  <c r="C10" i="7"/>
  <c r="D9" i="6"/>
  <c r="D9" i="4"/>
  <c r="C9" i="4"/>
  <c r="B9" i="4"/>
  <c r="D7" i="4"/>
  <c r="C7" i="4"/>
  <c r="B7" i="4"/>
  <c r="D6" i="4"/>
  <c r="D8" i="4" s="1"/>
  <c r="C6" i="4"/>
  <c r="C8" i="4" s="1"/>
  <c r="D5" i="4"/>
  <c r="C5" i="4"/>
  <c r="B5" i="4"/>
  <c r="B6" i="4" s="1"/>
  <c r="B8" i="4" s="1"/>
  <c r="C18" i="3"/>
  <c r="C22" i="3" s="1"/>
  <c r="B18" i="3"/>
  <c r="B22" i="3" s="1"/>
  <c r="C12" i="3"/>
  <c r="B12" i="3"/>
  <c r="C11" i="3"/>
  <c r="B11" i="3"/>
  <c r="C10" i="3"/>
  <c r="B10" i="3"/>
  <c r="C9" i="3"/>
  <c r="B9" i="3"/>
  <c r="C8" i="3"/>
  <c r="C13" i="3" s="1"/>
  <c r="B8" i="3"/>
  <c r="B13" i="3" s="1"/>
  <c r="B29" i="2"/>
  <c r="B30" i="2" s="1"/>
  <c r="B15" i="1"/>
  <c r="E7" i="1"/>
  <c r="E6" i="1"/>
  <c r="B6" i="1"/>
  <c r="B9" i="1" s="1"/>
  <c r="B15" i="2" l="1"/>
  <c r="B4" i="3" s="1"/>
  <c r="B6" i="3" s="1"/>
  <c r="B14" i="3" s="1"/>
  <c r="B24" i="3" s="1"/>
  <c r="C24" i="3"/>
  <c r="C15" i="3"/>
  <c r="E9" i="1" s="1"/>
  <c r="C21" i="3"/>
  <c r="C23" i="3" s="1"/>
  <c r="C25" i="3" s="1"/>
  <c r="E11" i="1" s="1"/>
  <c r="B11" i="4"/>
  <c r="B10" i="4"/>
  <c r="B12" i="4" s="1"/>
  <c r="B15" i="3"/>
  <c r="E8" i="1" s="1"/>
  <c r="B21" i="3"/>
  <c r="B23" i="3" s="1"/>
  <c r="B25" i="3" s="1"/>
  <c r="E10" i="1" s="1"/>
  <c r="C11" i="4"/>
  <c r="C10" i="4"/>
  <c r="C12" i="4" s="1"/>
  <c r="D11" i="4"/>
  <c r="D10" i="4"/>
  <c r="D12" i="4" s="1"/>
  <c r="G17" i="7"/>
  <c r="G19" i="7" s="1"/>
  <c r="G21" i="7" s="1"/>
  <c r="G26" i="7" s="1"/>
  <c r="C32" i="7" s="1"/>
  <c r="C34" i="7" s="1"/>
  <c r="E13" i="1" s="1"/>
  <c r="G27" i="7" l="1"/>
  <c r="C33" i="7" s="1"/>
  <c r="E12" i="1" s="1"/>
</calcChain>
</file>

<file path=xl/sharedStrings.xml><?xml version="1.0" encoding="utf-8"?>
<sst xmlns="http://schemas.openxmlformats.org/spreadsheetml/2006/main" count="257" uniqueCount="193">
  <si>
    <t>ENCINITAS MIXED-USE — DEAL SUMMARY</t>
  </si>
  <si>
    <t>Downtown Encinitas, CA  |  6,508 SF Retail/Office  |  2 blocks from Pacific</t>
  </si>
  <si>
    <t>SOURCES &amp; USES</t>
  </si>
  <si>
    <t>KEY RETURN METRICS</t>
  </si>
  <si>
    <t>Uses</t>
  </si>
  <si>
    <t>Amount</t>
  </si>
  <si>
    <t>Metric</t>
  </si>
  <si>
    <t>Value</t>
  </si>
  <si>
    <t>Purchase price</t>
  </si>
  <si>
    <t>Est. closing costs</t>
  </si>
  <si>
    <t>Price per SF</t>
  </si>
  <si>
    <t>Initial reserves</t>
  </si>
  <si>
    <t>Going-in cap rate</t>
  </si>
  <si>
    <t>Total uses</t>
  </si>
  <si>
    <t>Stabilized cap rate</t>
  </si>
  <si>
    <t>Going-in cash-on-cash</t>
  </si>
  <si>
    <t>Sources</t>
  </si>
  <si>
    <t>Stabilized CoC</t>
  </si>
  <si>
    <t>Equity (35% down)</t>
  </si>
  <si>
    <t>Levered IRR (base)</t>
  </si>
  <si>
    <t>Closing cost equity</t>
  </si>
  <si>
    <t>Equity multiple</t>
  </si>
  <si>
    <t>Loan proceeds</t>
  </si>
  <si>
    <t>Hold period</t>
  </si>
  <si>
    <t>5 years</t>
  </si>
  <si>
    <t>Total sources</t>
  </si>
  <si>
    <t>INVESTMENT THESIS &amp; RISKS</t>
  </si>
  <si>
    <t>Strengths</t>
  </si>
  <si>
    <t xml:space="preserve">  • Irreplaceable coastal location — 2 blocks from Pacific, no new supply in decades</t>
  </si>
  <si>
    <t xml:space="preserve">  • In-place rents ~30% below market, providing clear upside through lease-up</t>
  </si>
  <si>
    <t xml:space="preserve">  • Capital improvements complete: seismic retrofit, sewer, electrical, roof</t>
  </si>
  <si>
    <t xml:space="preserve">  • High-income trade area ($166K median HHI, ~50% above SD County median)</t>
  </si>
  <si>
    <t>Risks</t>
  </si>
  <si>
    <t xml:space="preserve">  • Negative carry of ~$197K/yr during lease-up (2025–2029)</t>
  </si>
  <si>
    <t xml:space="preserve">  • Market rent assumption ($4.25/SF NNN) must be validated with real comps</t>
  </si>
  <si>
    <t xml:space="preserve">  • Rate environment: 6.75% debt is a drag; refinance upside if rates fall</t>
  </si>
  <si>
    <t xml:space="preserve">  • Lease-up timeline risk — 2029 stabilization assumes smooth absorption</t>
  </si>
  <si>
    <t>ENCINITAS MIXED-USE — ENVELOPE ANALYSIS</t>
  </si>
  <si>
    <t>Encinitas, CA  |  Retail / Office  |  6,508 SF</t>
  </si>
  <si>
    <t>PROPERTY</t>
  </si>
  <si>
    <t>Notes</t>
  </si>
  <si>
    <t>Sale price</t>
  </si>
  <si>
    <t>Listing ask</t>
  </si>
  <si>
    <t>Gross rentable area (SF)</t>
  </si>
  <si>
    <t>Per OM</t>
  </si>
  <si>
    <t>Property type</t>
  </si>
  <si>
    <t>Retail/Office</t>
  </si>
  <si>
    <t>Calculated</t>
  </si>
  <si>
    <t>INCOME ASSUMPTIONS</t>
  </si>
  <si>
    <t>Occupied SF (in-place)</t>
  </si>
  <si>
    <t>Total 6,508 less 1,948 vacant</t>
  </si>
  <si>
    <t>Vacant SF (day 1)</t>
  </si>
  <si>
    <t>In-place rent ($/SF/mo)</t>
  </si>
  <si>
    <t>Below-market, per OM</t>
  </si>
  <si>
    <t>Market rent ($/SF/mo)</t>
  </si>
  <si>
    <t>NNN stabilized target</t>
  </si>
  <si>
    <t>In-place EGI (annual)</t>
  </si>
  <si>
    <t>Occupied SF × rent × 12</t>
  </si>
  <si>
    <t>Stabilized EGI (annual)</t>
  </si>
  <si>
    <t>Full SF × market rent × 12</t>
  </si>
  <si>
    <t>OPERATING EXPENSES — DETAILED BREAKDOWN (Annual)</t>
  </si>
  <si>
    <t>Line item</t>
  </si>
  <si>
    <t>Basis / notes</t>
  </si>
  <si>
    <t>Property taxes</t>
  </si>
  <si>
    <t>~1.1% of $5M assessed value — reassessed at purchase</t>
  </si>
  <si>
    <t>Insurance (property/liability)</t>
  </si>
  <si>
    <t>~$1.84/SF — coastal commercial rate</t>
  </si>
  <si>
    <t>Property management fee</t>
  </si>
  <si>
    <t>6% of in-place EGI (~$164K)</t>
  </si>
  <si>
    <t>Common area maintenance</t>
  </si>
  <si>
    <t>$1.00/SF on total 6,508 SF GRA</t>
  </si>
  <si>
    <t>Landscaping / janitorial</t>
  </si>
  <si>
    <t>Common area upkeep</t>
  </si>
  <si>
    <t>Utilities — vacant space</t>
  </si>
  <si>
    <t>$2.00/SF on 1,948 SF vacant</t>
  </si>
  <si>
    <t>Repairs &amp; maintenance</t>
  </si>
  <si>
    <t>$1.00/SF on total GRA</t>
  </si>
  <si>
    <t>CapEx reserve (roof + systems)</t>
  </si>
  <si>
    <t>$2.00/SF — roof replacement this year</t>
  </si>
  <si>
    <t>Leasing commission reserve</t>
  </si>
  <si>
    <t>Amortized over lease-up period</t>
  </si>
  <si>
    <t>Total OPEX</t>
  </si>
  <si>
    <t>OPEX per SF</t>
  </si>
  <si>
    <t>Blended $/SF — market range ~$16–$20/SF NNN</t>
  </si>
  <si>
    <t>CASH FLOW — GOING-IN vs. STABILIZED</t>
  </si>
  <si>
    <t>Going-In</t>
  </si>
  <si>
    <t>Stabilized</t>
  </si>
  <si>
    <t>INCOME</t>
  </si>
  <si>
    <t>Effective gross income</t>
  </si>
  <si>
    <t>Less: vacancy loss</t>
  </si>
  <si>
    <t>Net rental income</t>
  </si>
  <si>
    <t>OPERATING EXPENSES</t>
  </si>
  <si>
    <t>Insurance</t>
  </si>
  <si>
    <t>Mgmt fee</t>
  </si>
  <si>
    <t>CAM / maintenance</t>
  </si>
  <si>
    <t>CapEx / LC reserve</t>
  </si>
  <si>
    <t>NET OPERATING INCOME (NOI)</t>
  </si>
  <si>
    <t>DEBT SERVICE</t>
  </si>
  <si>
    <t>Annual debt service</t>
  </si>
  <si>
    <t>CASH FLOW SUMMARY</t>
  </si>
  <si>
    <t>NOI</t>
  </si>
  <si>
    <t>Debt service</t>
  </si>
  <si>
    <t>Pre-tax cash flow</t>
  </si>
  <si>
    <t>DCR</t>
  </si>
  <si>
    <t>Cash-on-cash</t>
  </si>
  <si>
    <t>RENT SCENARIOS — STABILIZED</t>
  </si>
  <si>
    <t>Conservative</t>
  </si>
  <si>
    <t>Base Case</t>
  </si>
  <si>
    <t>Upside</t>
  </si>
  <si>
    <t>Rent ($/SF/mo)</t>
  </si>
  <si>
    <t>Occupancy (%)</t>
  </si>
  <si>
    <t>Gross potential income</t>
  </si>
  <si>
    <t>Cap rate</t>
  </si>
  <si>
    <t>LEASE-UP TIMELINE &amp; VACANCY BURN-DOWN</t>
  </si>
  <si>
    <t>2025</t>
  </si>
  <si>
    <t>2026</t>
  </si>
  <si>
    <t>2027</t>
  </si>
  <si>
    <t>2028</t>
  </si>
  <si>
    <t>2029</t>
  </si>
  <si>
    <t>2030</t>
  </si>
  <si>
    <t>SUITE OCCUPANCY</t>
  </si>
  <si>
    <t>Suite A (2,280 SF) — long-term</t>
  </si>
  <si>
    <t>Occupied</t>
  </si>
  <si>
    <t>Suite B (2,280 SF) — long-term</t>
  </si>
  <si>
    <t>Suite C (1,948 SF) — vacant/owner</t>
  </si>
  <si>
    <t>Vacant</t>
  </si>
  <si>
    <t>Partial</t>
  </si>
  <si>
    <t>Suite D (1,140 SF) — avail Jan-28</t>
  </si>
  <si>
    <t>Suite E (1,140 SF) — avail Sep-29</t>
  </si>
  <si>
    <t>Lease-up</t>
  </si>
  <si>
    <t>ANNUAL METRICS — NOI builds year-by-year as suites fill</t>
  </si>
  <si>
    <t>Occupied SF</t>
  </si>
  <si>
    <t>Vacancy SF</t>
  </si>
  <si>
    <t>Occupancy %</t>
  </si>
  <si>
    <t>Avg rent ($/SF/mo)</t>
  </si>
  <si>
    <t>Gross rental income</t>
  </si>
  <si>
    <t>Cumulative carry deficit</t>
  </si>
  <si>
    <t>OPEX declines as vacant suites lease NNN (tenants absorb taxes, insurance, utilities on their space). Debt service fixed at $266,100/yr. Cumulative carry shows total equity funded before stabilization.</t>
  </si>
  <si>
    <t>COMPARABLE RENT ANALYSIS — ENCINITAS SUBMARKET</t>
  </si>
  <si>
    <t>Fill in with actual lease comps from CoStar, LoopNet, or broker. Target 3–5 NNN retail/office comps within 0.5 mile of subject.</t>
  </si>
  <si>
    <t>Property / Address</t>
  </si>
  <si>
    <t>Tenant / Use</t>
  </si>
  <si>
    <t>SF Leased</t>
  </si>
  <si>
    <t>Rent $/SF/Mo</t>
  </si>
  <si>
    <t>Lease Type</t>
  </si>
  <si>
    <t>Date</t>
  </si>
  <si>
    <t>[Address 1 — enter comp]</t>
  </si>
  <si>
    <t>[Tenant type]</t>
  </si>
  <si>
    <t>NNN</t>
  </si>
  <si>
    <t>[Date]</t>
  </si>
  <si>
    <t>[Source: CoStar/broker]</t>
  </si>
  <si>
    <t>[Address 2 — enter comp]</t>
  </si>
  <si>
    <t>[Address 3 — enter comp]</t>
  </si>
  <si>
    <t>[Address 4 — enter comp]</t>
  </si>
  <si>
    <t>[Address 5 — enter comp]</t>
  </si>
  <si>
    <t>Average / subject assumption</t>
  </si>
  <si>
    <t>← vs. our $4.25 assumption</t>
  </si>
  <si>
    <t>Sources: CoStar, LoopNet, listing broker, or direct lease abstracts. Verify all comps with a licensed broker.</t>
  </si>
  <si>
    <t>IRR &amp; EQUITY RETURN MODEL — 5-YEAR HOLD</t>
  </si>
  <si>
    <t>Year 0</t>
  </si>
  <si>
    <t>Year 1</t>
  </si>
  <si>
    <t>Year 2</t>
  </si>
  <si>
    <t>Year 3</t>
  </si>
  <si>
    <t>Year 4</t>
  </si>
  <si>
    <t>Year 5
(Exit)</t>
  </si>
  <si>
    <t>HOLD ASSUMPTIONS (blue cells = editable inputs)</t>
  </si>
  <si>
    <t>Exit cap rate (applied to yr-5 NOI)</t>
  </si>
  <si>
    <t>Cost of sale (broker + transfer tax)</t>
  </si>
  <si>
    <t>Loan balance at exit (yr 5 est.)</t>
  </si>
  <si>
    <t>Total equity invested (down + closing)</t>
  </si>
  <si>
    <t>ANNUAL NOI &amp; CASH FLOW — linked from Lease-Up Timeline (rows 17, 18, 19)</t>
  </si>
  <si>
    <t>NOI (from Lease-Up Timeline)</t>
  </si>
  <si>
    <t>—</t>
  </si>
  <si>
    <t>Annual debt service (from Lease-Up)</t>
  </si>
  <si>
    <t>Implied cap rate (yr)</t>
  </si>
  <si>
    <t>EXIT ANALYSIS (Year 5)</t>
  </si>
  <si>
    <t>Exit year NOI</t>
  </si>
  <si>
    <t>Gross exit value</t>
  </si>
  <si>
    <t>Less: cost of sale</t>
  </si>
  <si>
    <t>Net sale proceeds</t>
  </si>
  <si>
    <t>Less: loan payoff</t>
  </si>
  <si>
    <t>Net equity at exit</t>
  </si>
  <si>
    <t>EQUITY CASH FLOW — used in IRR calculation</t>
  </si>
  <si>
    <t>Year 0 — equity out at close</t>
  </si>
  <si>
    <t>Yrs 1–5 operating cash flow</t>
  </si>
  <si>
    <t>Exit equity proceeds (Yr 5)</t>
  </si>
  <si>
    <t>Total equity cash flow</t>
  </si>
  <si>
    <t>RETURN SUMMARY</t>
  </si>
  <si>
    <t>Total equity invested</t>
  </si>
  <si>
    <t>Total equity returned</t>
  </si>
  <si>
    <t>Levered IRR (5-yr hold)</t>
  </si>
  <si>
    <t>Equity multiple (MOIC)</t>
  </si>
  <si>
    <t>Exit cap rate (assumption)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</si>
</sst>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$#,##0;&quot;($&quot;#,##0\);\-"/>
    <numFmt numFmtId="165" formatCode="0.0%;\(0.0%\);\-"/>
    <numFmt numFmtId="166" formatCode="0.00\x"/>
    <numFmt numFmtId="167" formatCode="\$#,##0.00"/>
  </numFmts>
  <fonts count="25" x14ac:knownFonts="1">
    <font>
      <sz val="11"/>
      <color theme="1"/>
      <name val="Calibri"/>
      <family val="2"/>
      <charset val="1"/>
    </font>
    <font>
      <b/>
      <sz val="13"/>
      <color rgb="FFFFFFFF"/>
      <name val="Arial"/>
      <family val="2"/>
    </font>
    <font>
      <sz val="10"/>
      <color rgb="FF444444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b/>
      <sz val="10"/>
      <color rgb="FF1D5C8A"/>
      <name val="Arial"/>
      <family val="2"/>
    </font>
    <font>
      <b/>
      <sz val="10"/>
      <color rgb="FF993C1D"/>
      <name val="Arial"/>
      <family val="2"/>
    </font>
    <font>
      <b/>
      <sz val="11"/>
      <color rgb="FFFFFFFF"/>
      <name val="Arial"/>
      <family val="2"/>
    </font>
    <font>
      <sz val="10"/>
      <color rgb="FF555555"/>
      <name val="Arial"/>
      <family val="2"/>
    </font>
    <font>
      <sz val="10"/>
      <color rgb="FF777777"/>
      <name val="Arial"/>
      <family val="2"/>
    </font>
    <font>
      <b/>
      <sz val="10"/>
      <name val="Arial"/>
      <family val="2"/>
    </font>
    <font>
      <sz val="10"/>
      <color rgb="FF1B5E20"/>
      <name val="Arial"/>
      <family val="2"/>
    </font>
    <font>
      <sz val="10"/>
      <color rgb="FFB71C1C"/>
      <name val="Arial"/>
      <family val="2"/>
    </font>
    <font>
      <sz val="10"/>
      <color rgb="FFF57F17"/>
      <name val="Arial"/>
      <family val="2"/>
    </font>
    <font>
      <sz val="10"/>
      <color rgb="FF993C1D"/>
      <name val="Arial"/>
      <family val="2"/>
    </font>
    <font>
      <i/>
      <sz val="9"/>
      <color rgb="FF777777"/>
      <name val="Arial"/>
      <family val="2"/>
    </font>
    <font>
      <i/>
      <sz val="10"/>
      <color rgb="FF993C1D"/>
      <name val="Arial"/>
      <family val="2"/>
    </font>
    <font>
      <i/>
      <sz val="10"/>
      <color rgb="FF777777"/>
      <name val="Arial"/>
      <family val="2"/>
    </font>
    <font>
      <i/>
      <sz val="10"/>
      <color rgb="FF0000FF"/>
      <name val="Arial"/>
      <family val="2"/>
    </font>
    <font>
      <sz val="10"/>
      <color rgb="FF2E7D32"/>
      <name val="Arial"/>
      <family val="2"/>
    </font>
    <font>
      <sz val="10"/>
      <color rgb="FFDDDDDD"/>
      <name val="Arial"/>
      <family val="2"/>
    </font>
    <font>
      <sz val="10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1D5C8A"/>
        <bgColor rgb="FF008080"/>
      </patternFill>
    </fill>
    <fill>
      <patternFill patternType="solid">
        <fgColor rgb="FF2E7D32"/>
        <bgColor rgb="FF1B5E20"/>
      </patternFill>
    </fill>
    <fill>
      <patternFill patternType="solid">
        <fgColor rgb="FFBBDEFB"/>
        <bgColor rgb="FFC8E6C9"/>
      </patternFill>
    </fill>
    <fill>
      <patternFill patternType="solid">
        <fgColor rgb="FFE8F5E9"/>
        <bgColor rgb="FFE8F5EE"/>
      </patternFill>
    </fill>
    <fill>
      <patternFill patternType="solid">
        <fgColor rgb="FFF5F5F5"/>
        <bgColor rgb="FFF0F9FF"/>
      </patternFill>
    </fill>
    <fill>
      <patternFill patternType="solid">
        <fgColor rgb="FFE3F2FD"/>
        <bgColor rgb="FFE8F5EE"/>
      </patternFill>
    </fill>
    <fill>
      <patternFill patternType="solid">
        <fgColor rgb="FFF0F9FF"/>
        <bgColor rgb="FFF5F5F5"/>
      </patternFill>
    </fill>
    <fill>
      <patternFill patternType="solid">
        <fgColor rgb="FFC8E6C9"/>
        <bgColor rgb="FFDDDDDD"/>
      </patternFill>
    </fill>
    <fill>
      <patternFill patternType="solid">
        <fgColor rgb="FFFFCDD2"/>
        <bgColor rgb="FFDDDDDD"/>
      </patternFill>
    </fill>
    <fill>
      <patternFill patternType="solid">
        <fgColor rgb="FFFFF9C4"/>
        <bgColor rgb="FFF5F5F5"/>
      </patternFill>
    </fill>
    <fill>
      <patternFill patternType="solid">
        <fgColor rgb="FFFFEBEE"/>
        <bgColor rgb="FFF5F5F5"/>
      </patternFill>
    </fill>
    <fill>
      <patternFill patternType="solid">
        <fgColor rgb="FFE8F5EE"/>
        <bgColor rgb="FFE8F5E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7" fillId="0" borderId="0" xfId="0" applyFont="1"/>
    <xf numFmtId="0" fontId="3" fillId="3" borderId="0" xfId="0" applyFont="1" applyFill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164" fontId="5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164" fontId="4" fillId="4" borderId="0" xfId="0" applyNumberFormat="1" applyFont="1" applyFill="1" applyAlignment="1">
      <alignment horizontal="right"/>
    </xf>
    <xf numFmtId="165" fontId="7" fillId="0" borderId="0" xfId="0" applyNumberFormat="1" applyFont="1" applyAlignment="1">
      <alignment horizontal="right"/>
    </xf>
    <xf numFmtId="166" fontId="7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right"/>
    </xf>
    <xf numFmtId="164" fontId="4" fillId="5" borderId="0" xfId="0" applyNumberFormat="1" applyFont="1" applyFill="1" applyAlignment="1">
      <alignment horizontal="right"/>
    </xf>
    <xf numFmtId="0" fontId="8" fillId="0" borderId="0" xfId="0" applyFont="1"/>
    <xf numFmtId="0" fontId="9" fillId="0" borderId="0" xfId="0" applyFont="1"/>
    <xf numFmtId="164" fontId="6" fillId="0" borderId="0" xfId="0" applyNumberFormat="1" applyFont="1"/>
    <xf numFmtId="0" fontId="12" fillId="0" borderId="0" xfId="0" applyFont="1"/>
    <xf numFmtId="3" fontId="6" fillId="0" borderId="0" xfId="0" applyNumberFormat="1" applyFont="1"/>
    <xf numFmtId="49" fontId="5" fillId="0" borderId="0" xfId="0" applyNumberFormat="1" applyFont="1"/>
    <xf numFmtId="167" fontId="6" fillId="0" borderId="0" xfId="0" applyNumberFormat="1" applyFont="1"/>
    <xf numFmtId="164" fontId="5" fillId="0" borderId="0" xfId="0" applyNumberFormat="1" applyFont="1"/>
    <xf numFmtId="164" fontId="13" fillId="4" borderId="0" xfId="0" applyNumberFormat="1" applyFont="1" applyFill="1" applyAlignment="1">
      <alignment horizontal="right"/>
    </xf>
    <xf numFmtId="167" fontId="7" fillId="0" borderId="0" xfId="0" applyNumberFormat="1" applyFont="1"/>
    <xf numFmtId="0" fontId="4" fillId="0" borderId="0" xfId="0" applyFont="1" applyAlignment="1">
      <alignment horizontal="center"/>
    </xf>
    <xf numFmtId="164" fontId="7" fillId="0" borderId="0" xfId="0" applyNumberFormat="1" applyFont="1"/>
    <xf numFmtId="164" fontId="7" fillId="5" borderId="0" xfId="0" applyNumberFormat="1" applyFont="1" applyFill="1"/>
    <xf numFmtId="0" fontId="13" fillId="0" borderId="0" xfId="0" applyFont="1"/>
    <xf numFmtId="164" fontId="13" fillId="5" borderId="0" xfId="0" applyNumberFormat="1" applyFont="1" applyFill="1"/>
    <xf numFmtId="164" fontId="13" fillId="4" borderId="0" xfId="0" applyNumberFormat="1" applyFont="1" applyFill="1"/>
    <xf numFmtId="165" fontId="7" fillId="0" borderId="0" xfId="0" applyNumberFormat="1" applyFont="1"/>
    <xf numFmtId="166" fontId="7" fillId="0" borderId="0" xfId="0" applyNumberFormat="1" applyFont="1"/>
    <xf numFmtId="0" fontId="13" fillId="6" borderId="0" xfId="0" applyFont="1" applyFill="1" applyAlignment="1">
      <alignment horizontal="center"/>
    </xf>
    <xf numFmtId="0" fontId="13" fillId="7" borderId="0" xfId="0" applyFont="1" applyFill="1" applyAlignment="1">
      <alignment horizontal="center"/>
    </xf>
    <xf numFmtId="167" fontId="6" fillId="8" borderId="0" xfId="0" applyNumberFormat="1" applyFont="1" applyFill="1"/>
    <xf numFmtId="165" fontId="6" fillId="0" borderId="0" xfId="0" applyNumberFormat="1" applyFont="1"/>
    <xf numFmtId="165" fontId="6" fillId="8" borderId="0" xfId="0" applyNumberFormat="1" applyFont="1" applyFill="1"/>
    <xf numFmtId="164" fontId="7" fillId="8" borderId="0" xfId="0" applyNumberFormat="1" applyFont="1" applyFill="1"/>
    <xf numFmtId="165" fontId="7" fillId="8" borderId="0" xfId="0" applyNumberFormat="1" applyFont="1" applyFill="1"/>
    <xf numFmtId="0" fontId="10" fillId="3" borderId="0" xfId="0" applyFont="1" applyFill="1" applyAlignment="1">
      <alignment horizontal="center" vertical="center" wrapText="1"/>
    </xf>
    <xf numFmtId="0" fontId="14" fillId="9" borderId="0" xfId="0" applyFont="1" applyFill="1" applyAlignment="1">
      <alignment horizontal="center"/>
    </xf>
    <xf numFmtId="0" fontId="15" fillId="10" borderId="0" xfId="0" applyFont="1" applyFill="1" applyAlignment="1">
      <alignment horizontal="center"/>
    </xf>
    <xf numFmtId="0" fontId="16" fillId="11" borderId="0" xfId="0" applyFont="1" applyFill="1" applyAlignment="1">
      <alignment horizontal="center"/>
    </xf>
    <xf numFmtId="3" fontId="5" fillId="0" borderId="0" xfId="0" applyNumberFormat="1" applyFont="1" applyAlignment="1">
      <alignment horizontal="right"/>
    </xf>
    <xf numFmtId="167" fontId="5" fillId="0" borderId="0" xfId="0" applyNumberFormat="1" applyFont="1" applyAlignment="1">
      <alignment horizontal="right"/>
    </xf>
    <xf numFmtId="164" fontId="17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164" fontId="17" fillId="11" borderId="0" xfId="0" applyNumberFormat="1" applyFont="1" applyFill="1" applyAlignment="1">
      <alignment horizontal="right"/>
    </xf>
    <xf numFmtId="0" fontId="20" fillId="11" borderId="0" xfId="0" applyFont="1" applyFill="1"/>
    <xf numFmtId="3" fontId="21" fillId="11" borderId="0" xfId="0" applyNumberFormat="1" applyFont="1" applyFill="1"/>
    <xf numFmtId="167" fontId="21" fillId="11" borderId="0" xfId="0" applyNumberFormat="1" applyFont="1" applyFill="1"/>
    <xf numFmtId="0" fontId="21" fillId="11" borderId="0" xfId="0" applyFont="1" applyFill="1"/>
    <xf numFmtId="167" fontId="4" fillId="4" borderId="0" xfId="0" applyNumberFormat="1" applyFont="1" applyFill="1"/>
    <xf numFmtId="0" fontId="12" fillId="0" borderId="0" xfId="0" applyFont="1" applyAlignment="1">
      <alignment horizontal="center"/>
    </xf>
    <xf numFmtId="164" fontId="13" fillId="10" borderId="0" xfId="0" applyNumberFormat="1" applyFont="1" applyFill="1"/>
    <xf numFmtId="165" fontId="12" fillId="0" borderId="0" xfId="0" applyNumberFormat="1" applyFont="1"/>
    <xf numFmtId="0" fontId="23" fillId="0" borderId="0" xfId="0" applyFont="1"/>
    <xf numFmtId="164" fontId="13" fillId="13" borderId="0" xfId="0" applyNumberFormat="1" applyFont="1" applyFill="1"/>
    <xf numFmtId="165" fontId="13" fillId="4" borderId="0" xfId="0" applyNumberFormat="1" applyFont="1" applyFill="1"/>
    <xf numFmtId="166" fontId="13" fillId="13" borderId="0" xfId="0" applyNumberFormat="1" applyFont="1" applyFill="1"/>
    <xf numFmtId="164" fontId="24" fillId="0" borderId="0" xfId="0" applyNumberFormat="1" applyFont="1" applyAlignment="1">
      <alignment horizontal="right"/>
    </xf>
    <xf numFmtId="167" fontId="24" fillId="0" borderId="0" xfId="0" applyNumberFormat="1" applyFont="1"/>
    <xf numFmtId="0" fontId="10" fillId="2" borderId="0" xfId="0" applyFont="1" applyFill="1" applyAlignment="1">
      <alignment horizontal="center"/>
    </xf>
    <xf numFmtId="0" fontId="11" fillId="0" borderId="0" xfId="0" applyFont="1"/>
    <xf numFmtId="0" fontId="3" fillId="3" borderId="0" xfId="0" applyFont="1" applyFill="1"/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10" fillId="2" borderId="0" xfId="0" applyFont="1" applyFill="1" applyAlignment="1">
      <alignment horizontal="center" vertical="center"/>
    </xf>
    <xf numFmtId="0" fontId="18" fillId="0" borderId="0" xfId="0" applyFont="1" applyAlignment="1">
      <alignment wrapText="1"/>
    </xf>
    <xf numFmtId="0" fontId="19" fillId="12" borderId="0" xfId="0" applyFont="1" applyFill="1" applyAlignment="1">
      <alignment horizontal="left" wrapText="1"/>
    </xf>
    <xf numFmtId="0" fontId="22" fillId="0" borderId="0" xfId="0" applyFont="1"/>
    <xf numFmtId="0" fontId="18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B5E20"/>
      <rgbColor rgb="FF000080"/>
      <rgbColor rgb="FF808000"/>
      <rgbColor rgb="FF800080"/>
      <rgbColor rgb="FF008080"/>
      <rgbColor rgb="FFDDDDDD"/>
      <rgbColor rgb="FF777777"/>
      <rgbColor rgb="FF9999FF"/>
      <rgbColor rgb="FFB71C1C"/>
      <rgbColor rgb="FFFFF9C4"/>
      <rgbColor rgb="FFE3F2FD"/>
      <rgbColor rgb="FF660066"/>
      <rgbColor rgb="FFFF8080"/>
      <rgbColor rgb="FF1D5C8A"/>
      <rgbColor rgb="FFBBDEF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F5EE"/>
      <rgbColor rgb="FFC8E6C9"/>
      <rgbColor rgb="FFE8F5E9"/>
      <rgbColor rgb="FFF0F9FF"/>
      <rgbColor rgb="FFFFEBEE"/>
      <rgbColor rgb="FFF5F5F5"/>
      <rgbColor rgb="FFFFCDD2"/>
      <rgbColor rgb="FF3366FF"/>
      <rgbColor rgb="FF33CCCC"/>
      <rgbColor rgb="FF99CC00"/>
      <rgbColor rgb="FFFFCC00"/>
      <rgbColor rgb="FFFF9900"/>
      <rgbColor rgb="FFF57F17"/>
      <rgbColor rgb="FF555555"/>
      <rgbColor rgb="FF969696"/>
      <rgbColor rgb="FF003366"/>
      <rgbColor rgb="FF2E7D32"/>
      <rgbColor rgb="FF003300"/>
      <rgbColor rgb="FF333300"/>
      <rgbColor rgb="FF993C1D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topLeftCell="A10" zoomScale="190" zoomScaleNormal="190" workbookViewId="0">
      <selection sqref="A1:E1"/>
    </sheetView>
  </sheetViews>
  <sheetFormatPr baseColWidth="10" defaultColWidth="8.6640625" defaultRowHeight="15" x14ac:dyDescent="0.2"/>
  <cols>
    <col min="1" max="1" width="30" customWidth="1"/>
    <col min="2" max="2" width="16" customWidth="1"/>
    <col min="3" max="3" width="4" customWidth="1"/>
    <col min="4" max="4" width="30" customWidth="1"/>
    <col min="5" max="5" width="16" customWidth="1"/>
  </cols>
  <sheetData>
    <row r="1" spans="1:5" ht="27.75" customHeight="1" x14ac:dyDescent="0.2">
      <c r="A1" s="65" t="s">
        <v>0</v>
      </c>
      <c r="B1" s="65"/>
      <c r="C1" s="65"/>
      <c r="D1" s="65"/>
      <c r="E1" s="65"/>
    </row>
    <row r="2" spans="1:5" ht="15" customHeight="1" x14ac:dyDescent="0.2">
      <c r="A2" s="66" t="s">
        <v>1</v>
      </c>
      <c r="B2" s="66"/>
      <c r="C2" s="66"/>
      <c r="D2" s="66"/>
      <c r="E2" s="66"/>
    </row>
    <row r="4" spans="1:5" ht="15" customHeight="1" x14ac:dyDescent="0.2">
      <c r="A4" s="64" t="s">
        <v>2</v>
      </c>
      <c r="B4" s="64"/>
      <c r="D4" s="64" t="s">
        <v>3</v>
      </c>
      <c r="E4" s="64"/>
    </row>
    <row r="5" spans="1:5" ht="15" customHeight="1" x14ac:dyDescent="0.2">
      <c r="A5" s="3" t="s">
        <v>4</v>
      </c>
      <c r="B5" s="4" t="s">
        <v>5</v>
      </c>
      <c r="D5" s="3" t="s">
        <v>6</v>
      </c>
      <c r="E5" s="4" t="s">
        <v>7</v>
      </c>
    </row>
    <row r="6" spans="1:5" ht="15" customHeight="1" x14ac:dyDescent="0.2">
      <c r="A6" s="5" t="s">
        <v>8</v>
      </c>
      <c r="B6" s="6">
        <f>Assumptions!B5</f>
        <v>5000000</v>
      </c>
      <c r="D6" s="5" t="s">
        <v>8</v>
      </c>
      <c r="E6" s="6">
        <f>Assumptions!B5</f>
        <v>5000000</v>
      </c>
    </row>
    <row r="7" spans="1:5" ht="15" customHeight="1" x14ac:dyDescent="0.2">
      <c r="A7" s="5" t="s">
        <v>9</v>
      </c>
      <c r="B7" s="7">
        <v>75000</v>
      </c>
      <c r="D7" s="5" t="s">
        <v>10</v>
      </c>
      <c r="E7" s="6">
        <f>Assumptions!B8</f>
        <v>768.28518746158579</v>
      </c>
    </row>
    <row r="8" spans="1:5" ht="15" customHeight="1" x14ac:dyDescent="0.2">
      <c r="A8" s="5" t="s">
        <v>11</v>
      </c>
      <c r="B8" s="7">
        <v>30000</v>
      </c>
      <c r="D8" s="5" t="s">
        <v>12</v>
      </c>
      <c r="E8" s="8">
        <f>'Cash Flow'!B15</f>
        <v>-1.5755600000000002E-2</v>
      </c>
    </row>
    <row r="9" spans="1:5" ht="15" customHeight="1" x14ac:dyDescent="0.2">
      <c r="A9" s="3" t="s">
        <v>13</v>
      </c>
      <c r="B9" s="9">
        <f>SUM(B6:B8)</f>
        <v>5105000</v>
      </c>
      <c r="D9" s="5" t="s">
        <v>14</v>
      </c>
      <c r="E9" s="8">
        <f>'Cash Flow'!C15</f>
        <v>4.3425999999999999E-2</v>
      </c>
    </row>
    <row r="10" spans="1:5" ht="15" customHeight="1" x14ac:dyDescent="0.2">
      <c r="D10" s="5" t="s">
        <v>15</v>
      </c>
      <c r="E10" s="8">
        <f>'Cash Flow'!B25</f>
        <v>-6.0523970497848802</v>
      </c>
    </row>
    <row r="11" spans="1:5" ht="15" customHeight="1" x14ac:dyDescent="0.2">
      <c r="A11" s="3" t="s">
        <v>16</v>
      </c>
      <c r="B11" s="4" t="s">
        <v>5</v>
      </c>
      <c r="D11" s="5" t="s">
        <v>17</v>
      </c>
      <c r="E11" s="8">
        <f>'Cash Flow'!C25</f>
        <v>16.68177627535341</v>
      </c>
    </row>
    <row r="12" spans="1:5" ht="15" customHeight="1" x14ac:dyDescent="0.2">
      <c r="A12" s="5" t="s">
        <v>18</v>
      </c>
      <c r="B12" s="6">
        <f>B6*C12</f>
        <v>1750000</v>
      </c>
      <c r="C12">
        <v>0.35</v>
      </c>
      <c r="D12" s="5" t="s">
        <v>19</v>
      </c>
      <c r="E12" s="10">
        <f>'IRR Model'!C33</f>
        <v>-5.9634588603371008E-2</v>
      </c>
    </row>
    <row r="13" spans="1:5" ht="15" customHeight="1" x14ac:dyDescent="0.2">
      <c r="A13" s="5" t="s">
        <v>20</v>
      </c>
      <c r="B13" s="60">
        <f>B7+B8</f>
        <v>105000</v>
      </c>
      <c r="D13" s="5" t="s">
        <v>21</v>
      </c>
      <c r="E13" s="11">
        <f>'IRR Model'!C34</f>
        <v>0.70142604606060632</v>
      </c>
    </row>
    <row r="14" spans="1:5" ht="15" customHeight="1" x14ac:dyDescent="0.2">
      <c r="A14" s="5" t="s">
        <v>22</v>
      </c>
      <c r="B14" s="6">
        <f>B6-B12</f>
        <v>3250000</v>
      </c>
      <c r="D14" s="5" t="s">
        <v>23</v>
      </c>
      <c r="E14" s="12" t="s">
        <v>24</v>
      </c>
    </row>
    <row r="15" spans="1:5" ht="15" customHeight="1" x14ac:dyDescent="0.2">
      <c r="A15" s="3" t="s">
        <v>25</v>
      </c>
      <c r="B15" s="13">
        <f>SUM(B12:B14)</f>
        <v>5105000</v>
      </c>
    </row>
    <row r="18" spans="1:5" ht="15" customHeight="1" x14ac:dyDescent="0.2">
      <c r="A18" s="64" t="s">
        <v>26</v>
      </c>
      <c r="B18" s="64"/>
      <c r="C18" s="64"/>
      <c r="D18" s="64"/>
      <c r="E18" s="64"/>
    </row>
    <row r="19" spans="1:5" ht="15" customHeight="1" x14ac:dyDescent="0.2">
      <c r="A19" s="14" t="s">
        <v>27</v>
      </c>
    </row>
    <row r="20" spans="1:5" ht="15" customHeight="1" x14ac:dyDescent="0.2">
      <c r="A20" s="67" t="s">
        <v>28</v>
      </c>
      <c r="B20" s="67"/>
      <c r="C20" s="67"/>
      <c r="D20" s="67"/>
      <c r="E20" s="67"/>
    </row>
    <row r="21" spans="1:5" ht="15" customHeight="1" x14ac:dyDescent="0.2">
      <c r="A21" s="67" t="s">
        <v>29</v>
      </c>
      <c r="B21" s="67"/>
      <c r="C21" s="67"/>
      <c r="D21" s="67"/>
      <c r="E21" s="67"/>
    </row>
    <row r="22" spans="1:5" ht="15" customHeight="1" x14ac:dyDescent="0.2">
      <c r="A22" s="67" t="s">
        <v>30</v>
      </c>
      <c r="B22" s="67"/>
      <c r="C22" s="67"/>
      <c r="D22" s="67"/>
      <c r="E22" s="67"/>
    </row>
    <row r="23" spans="1:5" ht="15" customHeight="1" x14ac:dyDescent="0.2">
      <c r="A23" s="67" t="s">
        <v>31</v>
      </c>
      <c r="B23" s="67"/>
      <c r="C23" s="67"/>
      <c r="D23" s="67"/>
      <c r="E23" s="67"/>
    </row>
    <row r="25" spans="1:5" ht="15" customHeight="1" x14ac:dyDescent="0.2">
      <c r="A25" s="15" t="s">
        <v>32</v>
      </c>
    </row>
    <row r="26" spans="1:5" ht="15" customHeight="1" x14ac:dyDescent="0.2">
      <c r="A26" s="67" t="s">
        <v>33</v>
      </c>
      <c r="B26" s="67"/>
      <c r="C26" s="67"/>
      <c r="D26" s="67"/>
      <c r="E26" s="67"/>
    </row>
    <row r="27" spans="1:5" ht="15" customHeight="1" x14ac:dyDescent="0.2">
      <c r="A27" s="67" t="s">
        <v>34</v>
      </c>
      <c r="B27" s="67"/>
      <c r="C27" s="67"/>
      <c r="D27" s="67"/>
      <c r="E27" s="67"/>
    </row>
    <row r="28" spans="1:5" ht="15" customHeight="1" x14ac:dyDescent="0.2">
      <c r="A28" s="67" t="s">
        <v>35</v>
      </c>
      <c r="B28" s="67"/>
      <c r="C28" s="67"/>
      <c r="D28" s="67"/>
      <c r="E28" s="67"/>
    </row>
    <row r="29" spans="1:5" ht="15" customHeight="1" x14ac:dyDescent="0.2">
      <c r="A29" s="67" t="s">
        <v>36</v>
      </c>
      <c r="B29" s="67"/>
      <c r="C29" s="67"/>
      <c r="D29" s="67"/>
      <c r="E29" s="67"/>
    </row>
  </sheetData>
  <mergeCells count="13">
    <mergeCell ref="A27:E27"/>
    <mergeCell ref="A28:E28"/>
    <mergeCell ref="A29:E29"/>
    <mergeCell ref="A20:E20"/>
    <mergeCell ref="A21:E21"/>
    <mergeCell ref="A22:E22"/>
    <mergeCell ref="A23:E23"/>
    <mergeCell ref="A26:E26"/>
    <mergeCell ref="A1:E1"/>
    <mergeCell ref="A2:E2"/>
    <mergeCell ref="A4:B4"/>
    <mergeCell ref="D4:E4"/>
    <mergeCell ref="A18:E18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6"/>
  <sheetViews>
    <sheetView tabSelected="1" topLeftCell="A10" zoomScale="190" zoomScaleNormal="190" workbookViewId="0">
      <selection activeCell="B14" sqref="B14"/>
    </sheetView>
  </sheetViews>
  <sheetFormatPr baseColWidth="10" defaultColWidth="8.6640625" defaultRowHeight="15" x14ac:dyDescent="0.2"/>
  <cols>
    <col min="1" max="1" width="36" customWidth="1"/>
    <col min="2" max="2" width="18" customWidth="1"/>
    <col min="3" max="3" width="28" customWidth="1"/>
  </cols>
  <sheetData>
    <row r="1" spans="1:3" ht="15" customHeight="1" x14ac:dyDescent="0.2">
      <c r="A1" s="62" t="s">
        <v>37</v>
      </c>
      <c r="B1" s="62"/>
      <c r="C1" s="62"/>
    </row>
    <row r="2" spans="1:3" ht="15" customHeight="1" x14ac:dyDescent="0.2">
      <c r="A2" s="63" t="s">
        <v>38</v>
      </c>
      <c r="B2" s="63"/>
      <c r="C2" s="63"/>
    </row>
    <row r="4" spans="1:3" ht="15" customHeight="1" x14ac:dyDescent="0.2">
      <c r="A4" s="2" t="s">
        <v>39</v>
      </c>
      <c r="B4" s="3" t="s">
        <v>7</v>
      </c>
      <c r="C4" s="3" t="s">
        <v>40</v>
      </c>
    </row>
    <row r="5" spans="1:3" ht="15" customHeight="1" x14ac:dyDescent="0.2">
      <c r="A5" s="5" t="s">
        <v>41</v>
      </c>
      <c r="B5" s="16">
        <v>5000000</v>
      </c>
      <c r="C5" s="17" t="s">
        <v>42</v>
      </c>
    </row>
    <row r="6" spans="1:3" ht="15" customHeight="1" x14ac:dyDescent="0.2">
      <c r="A6" s="5" t="s">
        <v>43</v>
      </c>
      <c r="B6" s="18">
        <v>6508</v>
      </c>
      <c r="C6" s="17" t="s">
        <v>44</v>
      </c>
    </row>
    <row r="7" spans="1:3" ht="15" customHeight="1" x14ac:dyDescent="0.2">
      <c r="A7" s="5" t="s">
        <v>45</v>
      </c>
      <c r="B7" s="19" t="s">
        <v>46</v>
      </c>
      <c r="C7" s="17"/>
    </row>
    <row r="8" spans="1:3" ht="15" customHeight="1" x14ac:dyDescent="0.2">
      <c r="A8" s="5" t="s">
        <v>10</v>
      </c>
      <c r="B8" s="16">
        <f>B5/B6</f>
        <v>768.28518746158579</v>
      </c>
      <c r="C8" s="17" t="s">
        <v>47</v>
      </c>
    </row>
    <row r="10" spans="1:3" ht="15" customHeight="1" x14ac:dyDescent="0.2">
      <c r="A10" s="2" t="s">
        <v>48</v>
      </c>
      <c r="B10" s="3" t="s">
        <v>7</v>
      </c>
      <c r="C10" s="3" t="s">
        <v>40</v>
      </c>
    </row>
    <row r="11" spans="1:3" ht="15" customHeight="1" x14ac:dyDescent="0.2">
      <c r="A11" s="5" t="s">
        <v>49</v>
      </c>
      <c r="B11" s="18">
        <v>4560</v>
      </c>
      <c r="C11" s="17" t="s">
        <v>50</v>
      </c>
    </row>
    <row r="12" spans="1:3" ht="15" customHeight="1" x14ac:dyDescent="0.2">
      <c r="A12" s="5" t="s">
        <v>51</v>
      </c>
      <c r="B12" s="18">
        <f>B6*C12</f>
        <v>2277.7999999999997</v>
      </c>
      <c r="C12" s="17">
        <v>0.35</v>
      </c>
    </row>
    <row r="13" spans="1:3" ht="15" customHeight="1" x14ac:dyDescent="0.2">
      <c r="A13" s="5" t="s">
        <v>52</v>
      </c>
      <c r="B13" s="61">
        <f>3000/B11</f>
        <v>0.65789473684210531</v>
      </c>
      <c r="C13" s="17" t="s">
        <v>53</v>
      </c>
    </row>
    <row r="14" spans="1:3" ht="15" customHeight="1" x14ac:dyDescent="0.2">
      <c r="A14" s="5" t="s">
        <v>54</v>
      </c>
      <c r="B14" s="20">
        <f>4.25</f>
        <v>4.25</v>
      </c>
      <c r="C14" s="17" t="s">
        <v>55</v>
      </c>
    </row>
    <row r="15" spans="1:3" ht="15" customHeight="1" x14ac:dyDescent="0.2">
      <c r="A15" s="5" t="s">
        <v>56</v>
      </c>
      <c r="B15" s="21">
        <f>B11*B13*12</f>
        <v>36000</v>
      </c>
      <c r="C15" s="17" t="s">
        <v>57</v>
      </c>
    </row>
    <row r="16" spans="1:3" ht="15" customHeight="1" x14ac:dyDescent="0.2">
      <c r="A16" s="5" t="s">
        <v>58</v>
      </c>
      <c r="B16" s="21">
        <f>B6*B14*12</f>
        <v>331908</v>
      </c>
      <c r="C16" s="17" t="s">
        <v>59</v>
      </c>
    </row>
    <row r="18" spans="1:8" ht="15" customHeight="1" x14ac:dyDescent="0.2">
      <c r="A18" s="64" t="s">
        <v>60</v>
      </c>
      <c r="B18" s="64"/>
      <c r="C18" s="64"/>
      <c r="D18" s="1"/>
      <c r="E18" s="1"/>
      <c r="F18" s="1"/>
      <c r="G18" s="1"/>
      <c r="H18" s="1"/>
    </row>
    <row r="19" spans="1:8" ht="15" customHeight="1" x14ac:dyDescent="0.2">
      <c r="A19" s="3" t="s">
        <v>61</v>
      </c>
      <c r="B19" s="4" t="s">
        <v>5</v>
      </c>
      <c r="C19" s="3" t="s">
        <v>62</v>
      </c>
      <c r="D19" s="1"/>
      <c r="E19" s="1"/>
      <c r="F19" s="1"/>
      <c r="G19" s="1"/>
      <c r="H19" s="1"/>
    </row>
    <row r="20" spans="1:8" ht="15" customHeight="1" x14ac:dyDescent="0.2">
      <c r="A20" s="5" t="s">
        <v>63</v>
      </c>
      <c r="B20" s="7">
        <v>55000</v>
      </c>
      <c r="C20" s="17" t="s">
        <v>64</v>
      </c>
      <c r="D20" s="1"/>
      <c r="E20" s="1"/>
      <c r="F20" s="1"/>
      <c r="G20" s="1"/>
      <c r="H20" s="1"/>
    </row>
    <row r="21" spans="1:8" ht="15" customHeight="1" x14ac:dyDescent="0.2">
      <c r="A21" s="5" t="s">
        <v>65</v>
      </c>
      <c r="B21" s="7">
        <v>12000</v>
      </c>
      <c r="C21" s="17" t="s">
        <v>66</v>
      </c>
      <c r="D21" s="1"/>
      <c r="E21" s="1"/>
      <c r="F21" s="1"/>
      <c r="G21" s="1"/>
      <c r="H21" s="1"/>
    </row>
    <row r="22" spans="1:8" ht="15" customHeight="1" x14ac:dyDescent="0.2">
      <c r="A22" s="5" t="s">
        <v>67</v>
      </c>
      <c r="B22" s="7">
        <v>9850</v>
      </c>
      <c r="C22" s="17" t="s">
        <v>68</v>
      </c>
      <c r="D22" s="1"/>
      <c r="E22" s="1"/>
      <c r="F22" s="1"/>
      <c r="G22" s="1"/>
      <c r="H22" s="1"/>
    </row>
    <row r="23" spans="1:8" ht="15" customHeight="1" x14ac:dyDescent="0.2">
      <c r="A23" s="5" t="s">
        <v>69</v>
      </c>
      <c r="B23" s="7">
        <v>6508</v>
      </c>
      <c r="C23" s="17" t="s">
        <v>70</v>
      </c>
      <c r="D23" s="1"/>
      <c r="E23" s="1"/>
      <c r="F23" s="1"/>
      <c r="G23" s="1"/>
      <c r="H23" s="1"/>
    </row>
    <row r="24" spans="1:8" ht="15" customHeight="1" x14ac:dyDescent="0.2">
      <c r="A24" s="5" t="s">
        <v>71</v>
      </c>
      <c r="B24" s="7">
        <v>4000</v>
      </c>
      <c r="C24" s="17" t="s">
        <v>72</v>
      </c>
      <c r="D24" s="1"/>
      <c r="E24" s="1"/>
      <c r="F24" s="1"/>
      <c r="G24" s="1"/>
      <c r="H24" s="1"/>
    </row>
    <row r="25" spans="1:8" ht="15" customHeight="1" x14ac:dyDescent="0.2">
      <c r="A25" s="5" t="s">
        <v>73</v>
      </c>
      <c r="B25" s="7">
        <v>3896</v>
      </c>
      <c r="C25" s="17" t="s">
        <v>74</v>
      </c>
      <c r="D25" s="1"/>
      <c r="E25" s="1"/>
      <c r="F25" s="1"/>
      <c r="G25" s="1"/>
      <c r="H25" s="1"/>
    </row>
    <row r="26" spans="1:8" ht="15" customHeight="1" x14ac:dyDescent="0.2">
      <c r="A26" s="5" t="s">
        <v>75</v>
      </c>
      <c r="B26" s="7">
        <v>6508</v>
      </c>
      <c r="C26" s="17" t="s">
        <v>76</v>
      </c>
      <c r="D26" s="1"/>
      <c r="E26" s="1"/>
      <c r="F26" s="1"/>
      <c r="G26" s="1"/>
      <c r="H26" s="1"/>
    </row>
    <row r="27" spans="1:8" ht="15" customHeight="1" x14ac:dyDescent="0.2">
      <c r="A27" s="5" t="s">
        <v>77</v>
      </c>
      <c r="B27" s="7">
        <v>13016</v>
      </c>
      <c r="C27" s="17" t="s">
        <v>78</v>
      </c>
      <c r="D27" s="1"/>
      <c r="E27" s="1"/>
      <c r="F27" s="1"/>
      <c r="G27" s="1"/>
      <c r="H27" s="1"/>
    </row>
    <row r="28" spans="1:8" ht="15" customHeight="1" x14ac:dyDescent="0.2">
      <c r="A28" s="5" t="s">
        <v>79</v>
      </c>
      <c r="B28" s="7">
        <v>4000</v>
      </c>
      <c r="C28" s="17" t="s">
        <v>80</v>
      </c>
      <c r="D28" s="1"/>
      <c r="E28" s="1"/>
      <c r="F28" s="1"/>
      <c r="G28" s="1"/>
      <c r="H28" s="1"/>
    </row>
    <row r="29" spans="1:8" ht="15" customHeight="1" x14ac:dyDescent="0.2">
      <c r="A29" s="3" t="s">
        <v>81</v>
      </c>
      <c r="B29" s="22">
        <f>SUM(B20:B28)</f>
        <v>114778</v>
      </c>
      <c r="C29" s="1"/>
      <c r="D29" s="1"/>
      <c r="E29" s="1"/>
      <c r="F29" s="1"/>
      <c r="G29" s="1"/>
      <c r="H29" s="1"/>
    </row>
    <row r="30" spans="1:8" ht="15" customHeight="1" x14ac:dyDescent="0.2">
      <c r="A30" s="5" t="s">
        <v>82</v>
      </c>
      <c r="B30" s="23">
        <f>B29/B6</f>
        <v>17.636447449293179</v>
      </c>
      <c r="C30" s="17" t="s">
        <v>83</v>
      </c>
      <c r="D30" s="1"/>
      <c r="E30" s="1"/>
      <c r="F30" s="1"/>
      <c r="G30" s="1"/>
      <c r="H30" s="1"/>
    </row>
    <row r="31" spans="1:8" ht="15" customHeight="1" x14ac:dyDescent="0.2">
      <c r="A31" s="1"/>
      <c r="B31" s="1"/>
      <c r="C31" s="1"/>
      <c r="D31" s="1"/>
      <c r="E31" s="1"/>
      <c r="F31" s="1"/>
      <c r="G31" s="1"/>
      <c r="H31" s="1"/>
    </row>
    <row r="32" spans="1:8" ht="15" customHeight="1" x14ac:dyDescent="0.2">
      <c r="A32" s="1"/>
      <c r="B32" s="1"/>
      <c r="C32" s="1"/>
      <c r="D32" s="1"/>
      <c r="E32" s="1"/>
      <c r="F32" s="1"/>
      <c r="G32" s="1"/>
      <c r="H32" s="1"/>
    </row>
    <row r="33" spans="1:8" ht="15" customHeight="1" x14ac:dyDescent="0.2">
      <c r="A33" s="1"/>
      <c r="B33" s="1"/>
      <c r="C33" s="1"/>
      <c r="D33" s="1"/>
      <c r="E33" s="1"/>
      <c r="F33" s="1"/>
      <c r="G33" s="1"/>
      <c r="H33" s="1"/>
    </row>
    <row r="34" spans="1:8" ht="15" customHeight="1" x14ac:dyDescent="0.2">
      <c r="A34" s="1"/>
      <c r="B34" s="1"/>
      <c r="C34" s="1"/>
      <c r="D34" s="1"/>
      <c r="E34" s="1"/>
      <c r="F34" s="1"/>
      <c r="G34" s="1"/>
      <c r="H34" s="1"/>
    </row>
    <row r="35" spans="1:8" ht="15" customHeight="1" x14ac:dyDescent="0.2">
      <c r="A35" s="1"/>
      <c r="B35" s="1"/>
      <c r="C35" s="1"/>
      <c r="D35" s="1"/>
      <c r="E35" s="1"/>
      <c r="F35" s="1"/>
      <c r="G35" s="1"/>
      <c r="H35" s="1"/>
    </row>
    <row r="36" spans="1:8" ht="15" customHeight="1" x14ac:dyDescent="0.2">
      <c r="A36" s="1"/>
      <c r="B36" s="1"/>
      <c r="C36" s="1"/>
      <c r="D36" s="1"/>
      <c r="E36" s="1"/>
      <c r="F36" s="1"/>
      <c r="G36" s="1"/>
      <c r="H36" s="1"/>
    </row>
  </sheetData>
  <mergeCells count="3">
    <mergeCell ref="A1:C1"/>
    <mergeCell ref="A2:C2"/>
    <mergeCell ref="A18:C18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5"/>
  <sheetViews>
    <sheetView zoomScale="180" zoomScaleNormal="180" workbookViewId="0">
      <selection activeCell="C14" sqref="C14"/>
    </sheetView>
  </sheetViews>
  <sheetFormatPr baseColWidth="10" defaultColWidth="8.6640625" defaultRowHeight="15" x14ac:dyDescent="0.2"/>
  <cols>
    <col min="1" max="1" width="34" customWidth="1"/>
    <col min="2" max="3" width="16" customWidth="1"/>
  </cols>
  <sheetData>
    <row r="1" spans="1:3" ht="15" customHeight="1" x14ac:dyDescent="0.2">
      <c r="A1" s="62" t="s">
        <v>84</v>
      </c>
      <c r="B1" s="62"/>
      <c r="C1" s="62"/>
    </row>
    <row r="2" spans="1:3" ht="15" customHeight="1" x14ac:dyDescent="0.2">
      <c r="B2" s="24" t="s">
        <v>85</v>
      </c>
      <c r="C2" s="24" t="s">
        <v>86</v>
      </c>
    </row>
    <row r="3" spans="1:3" ht="15" customHeight="1" x14ac:dyDescent="0.2">
      <c r="A3" s="2" t="s">
        <v>87</v>
      </c>
    </row>
    <row r="4" spans="1:3" ht="15" customHeight="1" x14ac:dyDescent="0.2">
      <c r="A4" s="5" t="s">
        <v>88</v>
      </c>
      <c r="B4" s="21">
        <f>Assumptions!B15</f>
        <v>36000</v>
      </c>
      <c r="C4" s="21">
        <f>Assumptions!B16</f>
        <v>331908</v>
      </c>
    </row>
    <row r="5" spans="1:3" ht="15" customHeight="1" x14ac:dyDescent="0.2">
      <c r="A5" s="5" t="s">
        <v>89</v>
      </c>
      <c r="B5" s="16">
        <v>0</v>
      </c>
      <c r="C5" s="16">
        <v>0</v>
      </c>
    </row>
    <row r="6" spans="1:3" ht="15" customHeight="1" x14ac:dyDescent="0.2">
      <c r="A6" s="5" t="s">
        <v>90</v>
      </c>
      <c r="B6" s="21">
        <f>B4-B5</f>
        <v>36000</v>
      </c>
      <c r="C6" s="21">
        <f>C4-C5</f>
        <v>331908</v>
      </c>
    </row>
    <row r="7" spans="1:3" ht="15" customHeight="1" x14ac:dyDescent="0.2">
      <c r="A7" s="2" t="s">
        <v>91</v>
      </c>
    </row>
    <row r="8" spans="1:3" ht="15" customHeight="1" x14ac:dyDescent="0.2">
      <c r="A8" s="1" t="s">
        <v>63</v>
      </c>
      <c r="B8" s="25">
        <f>Assumptions!B20</f>
        <v>55000</v>
      </c>
      <c r="C8" s="25">
        <f>Assumptions!B20</f>
        <v>55000</v>
      </c>
    </row>
    <row r="9" spans="1:3" ht="15" customHeight="1" x14ac:dyDescent="0.2">
      <c r="A9" s="1" t="s">
        <v>92</v>
      </c>
      <c r="B9" s="25">
        <f>Assumptions!B21</f>
        <v>12000</v>
      </c>
      <c r="C9" s="25">
        <f>Assumptions!B21</f>
        <v>12000</v>
      </c>
    </row>
    <row r="10" spans="1:3" ht="15" customHeight="1" x14ac:dyDescent="0.2">
      <c r="A10" s="1" t="s">
        <v>93</v>
      </c>
      <c r="B10" s="25">
        <f>Assumptions!B22</f>
        <v>9850</v>
      </c>
      <c r="C10" s="25">
        <f>Assumptions!B22</f>
        <v>9850</v>
      </c>
    </row>
    <row r="11" spans="1:3" ht="15" customHeight="1" x14ac:dyDescent="0.2">
      <c r="A11" s="1" t="s">
        <v>94</v>
      </c>
      <c r="B11" s="25">
        <f>Assumptions!B23+Assumptions!B24+Assumptions!B25+Assumptions!B26</f>
        <v>20912</v>
      </c>
      <c r="C11" s="25">
        <f>Assumptions!B23+Assumptions!B24+Assumptions!B25+Assumptions!B26</f>
        <v>20912</v>
      </c>
    </row>
    <row r="12" spans="1:3" ht="15" customHeight="1" x14ac:dyDescent="0.2">
      <c r="A12" s="1" t="s">
        <v>95</v>
      </c>
      <c r="B12" s="26">
        <f>Assumptions!B27+Assumptions!B28</f>
        <v>17016</v>
      </c>
      <c r="C12" s="26">
        <f>Assumptions!B27+Assumptions!B28</f>
        <v>17016</v>
      </c>
    </row>
    <row r="13" spans="1:3" x14ac:dyDescent="0.2">
      <c r="A13" s="27" t="s">
        <v>81</v>
      </c>
      <c r="B13" s="28">
        <f>SUM(B8:B12)</f>
        <v>114778</v>
      </c>
      <c r="C13" s="28">
        <f>SUM(C8:C12)</f>
        <v>114778</v>
      </c>
    </row>
    <row r="14" spans="1:3" ht="15" customHeight="1" x14ac:dyDescent="0.2">
      <c r="A14" s="3" t="s">
        <v>96</v>
      </c>
      <c r="B14" s="29">
        <f>B6-B13</f>
        <v>-78778</v>
      </c>
      <c r="C14" s="29">
        <f>C6-C13</f>
        <v>217130</v>
      </c>
    </row>
    <row r="15" spans="1:3" ht="15" customHeight="1" x14ac:dyDescent="0.2">
      <c r="A15" s="5" t="s">
        <v>12</v>
      </c>
      <c r="B15" s="30">
        <f>B14/Assumptions!B5</f>
        <v>-1.5755600000000002E-2</v>
      </c>
      <c r="C15" s="30">
        <f>C14/Assumptions!B5</f>
        <v>4.3425999999999999E-2</v>
      </c>
    </row>
    <row r="17" spans="1:3" ht="15" customHeight="1" x14ac:dyDescent="0.2">
      <c r="A17" s="2" t="s">
        <v>97</v>
      </c>
    </row>
    <row r="18" spans="1:3" ht="15" customHeight="1" x14ac:dyDescent="0.2">
      <c r="A18" s="5" t="s">
        <v>98</v>
      </c>
      <c r="B18" s="16">
        <f>-Assumptions!B32</f>
        <v>0</v>
      </c>
      <c r="C18" s="16">
        <f>-Assumptions!B32</f>
        <v>0</v>
      </c>
    </row>
    <row r="20" spans="1:3" ht="15" customHeight="1" x14ac:dyDescent="0.2">
      <c r="A20" s="2" t="s">
        <v>99</v>
      </c>
    </row>
    <row r="21" spans="1:3" ht="15" customHeight="1" x14ac:dyDescent="0.2">
      <c r="A21" s="5" t="s">
        <v>100</v>
      </c>
      <c r="B21" s="25">
        <f>B14</f>
        <v>-78778</v>
      </c>
      <c r="C21" s="25">
        <f>C14</f>
        <v>217130</v>
      </c>
    </row>
    <row r="22" spans="1:3" ht="15" customHeight="1" x14ac:dyDescent="0.2">
      <c r="A22" s="5" t="s">
        <v>101</v>
      </c>
      <c r="B22" s="25">
        <f>B18</f>
        <v>0</v>
      </c>
      <c r="C22" s="25">
        <f>C18</f>
        <v>0</v>
      </c>
    </row>
    <row r="23" spans="1:3" ht="15" customHeight="1" x14ac:dyDescent="0.2">
      <c r="A23" s="3" t="s">
        <v>102</v>
      </c>
      <c r="B23" s="29">
        <f>B21+B22</f>
        <v>-78778</v>
      </c>
      <c r="C23" s="29">
        <f>C21+C22</f>
        <v>217130</v>
      </c>
    </row>
    <row r="24" spans="1:3" ht="15" customHeight="1" x14ac:dyDescent="0.2">
      <c r="A24" s="5" t="s">
        <v>103</v>
      </c>
      <c r="B24" s="31" t="str">
        <f>IFERROR(B14/-B18,"")</f>
        <v/>
      </c>
      <c r="C24" s="31" t="str">
        <f>IFERROR(C14/-C18,"")</f>
        <v/>
      </c>
    </row>
    <row r="25" spans="1:3" ht="15" customHeight="1" x14ac:dyDescent="0.2">
      <c r="A25" s="5" t="s">
        <v>104</v>
      </c>
      <c r="B25" s="30">
        <f>B23/Assumptions!B27</f>
        <v>-6.0523970497848802</v>
      </c>
      <c r="C25" s="30">
        <f>C23/Assumptions!B27</f>
        <v>16.68177627535341</v>
      </c>
    </row>
  </sheetData>
  <mergeCells count="1">
    <mergeCell ref="A1:C1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2"/>
  <sheetViews>
    <sheetView zoomScale="220" zoomScaleNormal="220" workbookViewId="0">
      <selection sqref="A1:D1"/>
    </sheetView>
  </sheetViews>
  <sheetFormatPr baseColWidth="10" defaultColWidth="8.6640625" defaultRowHeight="15" x14ac:dyDescent="0.2"/>
  <cols>
    <col min="1" max="1" width="30" customWidth="1"/>
    <col min="2" max="4" width="16" customWidth="1"/>
  </cols>
  <sheetData>
    <row r="1" spans="1:4" ht="15" customHeight="1" x14ac:dyDescent="0.2">
      <c r="A1" s="62" t="s">
        <v>105</v>
      </c>
      <c r="B1" s="62"/>
      <c r="C1" s="62"/>
      <c r="D1" s="62"/>
    </row>
    <row r="2" spans="1:4" ht="15" customHeight="1" x14ac:dyDescent="0.2">
      <c r="B2" s="32" t="s">
        <v>106</v>
      </c>
      <c r="C2" s="33" t="s">
        <v>107</v>
      </c>
      <c r="D2" s="32" t="s">
        <v>108</v>
      </c>
    </row>
    <row r="3" spans="1:4" ht="15" customHeight="1" x14ac:dyDescent="0.2">
      <c r="A3" s="5" t="s">
        <v>109</v>
      </c>
      <c r="B3" s="20">
        <v>3.5</v>
      </c>
      <c r="C3" s="34">
        <v>4.25</v>
      </c>
      <c r="D3" s="20">
        <v>5</v>
      </c>
    </row>
    <row r="4" spans="1:4" ht="15" customHeight="1" x14ac:dyDescent="0.2">
      <c r="A4" s="5" t="s">
        <v>110</v>
      </c>
      <c r="B4" s="35">
        <v>0.95</v>
      </c>
      <c r="C4" s="36">
        <v>0.95</v>
      </c>
      <c r="D4" s="35">
        <v>0.97</v>
      </c>
    </row>
    <row r="5" spans="1:4" ht="15" customHeight="1" x14ac:dyDescent="0.2">
      <c r="A5" s="5" t="s">
        <v>111</v>
      </c>
      <c r="B5" s="25">
        <f>Assumptions!B6*B3*12</f>
        <v>273336</v>
      </c>
      <c r="C5" s="37">
        <f>Assumptions!B6*C3*12</f>
        <v>331908</v>
      </c>
      <c r="D5" s="25">
        <f>Assumptions!B6*D3*12</f>
        <v>390480</v>
      </c>
    </row>
    <row r="6" spans="1:4" ht="15" customHeight="1" x14ac:dyDescent="0.2">
      <c r="A6" s="5" t="s">
        <v>88</v>
      </c>
      <c r="B6" s="25">
        <f>B5*B4</f>
        <v>259669.19999999998</v>
      </c>
      <c r="C6" s="37">
        <f>C5*C4</f>
        <v>315312.59999999998</v>
      </c>
      <c r="D6" s="25">
        <f>D5*D4</f>
        <v>378765.6</v>
      </c>
    </row>
    <row r="7" spans="1:4" ht="15" customHeight="1" x14ac:dyDescent="0.2">
      <c r="A7" s="5" t="s">
        <v>81</v>
      </c>
      <c r="B7" s="25">
        <f>Assumptions!B23</f>
        <v>6508</v>
      </c>
      <c r="C7" s="37">
        <f>Assumptions!B23</f>
        <v>6508</v>
      </c>
      <c r="D7" s="25">
        <f>Assumptions!B23</f>
        <v>6508</v>
      </c>
    </row>
    <row r="8" spans="1:4" ht="15" customHeight="1" x14ac:dyDescent="0.2">
      <c r="A8" s="3" t="s">
        <v>100</v>
      </c>
      <c r="B8" s="29">
        <f>B6-B7</f>
        <v>253161.19999999998</v>
      </c>
      <c r="C8" s="29">
        <f>C6-C7</f>
        <v>308804.59999999998</v>
      </c>
      <c r="D8" s="29">
        <f>D6-D7</f>
        <v>372257.6</v>
      </c>
    </row>
    <row r="9" spans="1:4" ht="15" customHeight="1" x14ac:dyDescent="0.2">
      <c r="A9" s="5" t="s">
        <v>101</v>
      </c>
      <c r="B9" s="25">
        <f>-Assumptions!B32</f>
        <v>0</v>
      </c>
      <c r="C9" s="37">
        <f>-Assumptions!B32</f>
        <v>0</v>
      </c>
      <c r="D9" s="25">
        <f>-Assumptions!B32</f>
        <v>0</v>
      </c>
    </row>
    <row r="10" spans="1:4" ht="15" customHeight="1" x14ac:dyDescent="0.2">
      <c r="A10" s="3" t="s">
        <v>102</v>
      </c>
      <c r="B10" s="28">
        <f>B8+B9</f>
        <v>253161.19999999998</v>
      </c>
      <c r="C10" s="28">
        <f>C8+C9</f>
        <v>308804.59999999998</v>
      </c>
      <c r="D10" s="28">
        <f>D8+D9</f>
        <v>372257.6</v>
      </c>
    </row>
    <row r="11" spans="1:4" ht="15" customHeight="1" x14ac:dyDescent="0.2">
      <c r="A11" s="5" t="s">
        <v>112</v>
      </c>
      <c r="B11" s="30">
        <f>B8/Assumptions!B5</f>
        <v>5.0632239999999995E-2</v>
      </c>
      <c r="C11" s="38">
        <f>C8/Assumptions!B5</f>
        <v>6.1760919999999997E-2</v>
      </c>
      <c r="D11" s="30">
        <f>D8/Assumptions!B5</f>
        <v>7.4451519999999993E-2</v>
      </c>
    </row>
    <row r="12" spans="1:4" ht="15" customHeight="1" x14ac:dyDescent="0.2">
      <c r="A12" s="5" t="s">
        <v>104</v>
      </c>
      <c r="B12" s="30">
        <f>B10/Assumptions!B27</f>
        <v>19.45</v>
      </c>
      <c r="C12" s="38">
        <f>C10/Assumptions!B27</f>
        <v>23.724999999999998</v>
      </c>
      <c r="D12" s="30">
        <f>D10/Assumptions!B27</f>
        <v>28.599999999999998</v>
      </c>
    </row>
  </sheetData>
  <mergeCells count="1">
    <mergeCell ref="A1:D1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5"/>
  <sheetViews>
    <sheetView zoomScale="177" zoomScaleNormal="100" workbookViewId="0">
      <selection sqref="A1:G1"/>
    </sheetView>
  </sheetViews>
  <sheetFormatPr baseColWidth="10" defaultColWidth="8.6640625" defaultRowHeight="15" x14ac:dyDescent="0.2"/>
  <cols>
    <col min="1" max="1" width="28" customWidth="1"/>
    <col min="2" max="7" width="13" customWidth="1"/>
  </cols>
  <sheetData>
    <row r="1" spans="1:8" ht="24" customHeight="1" x14ac:dyDescent="0.2">
      <c r="A1" s="68" t="s">
        <v>113</v>
      </c>
      <c r="B1" s="68"/>
      <c r="C1" s="68"/>
      <c r="D1" s="68"/>
      <c r="E1" s="68"/>
      <c r="F1" s="68"/>
      <c r="G1" s="68"/>
    </row>
    <row r="2" spans="1:8" ht="15" customHeight="1" x14ac:dyDescent="0.2">
      <c r="B2" s="39" t="s">
        <v>114</v>
      </c>
      <c r="C2" s="39" t="s">
        <v>115</v>
      </c>
      <c r="D2" s="39" t="s">
        <v>116</v>
      </c>
      <c r="E2" s="39" t="s">
        <v>117</v>
      </c>
      <c r="F2" s="39" t="s">
        <v>118</v>
      </c>
      <c r="G2" s="39" t="s">
        <v>119</v>
      </c>
    </row>
    <row r="3" spans="1:8" ht="15" customHeight="1" x14ac:dyDescent="0.2">
      <c r="A3" s="64" t="s">
        <v>120</v>
      </c>
      <c r="B3" s="64"/>
      <c r="C3" s="64"/>
      <c r="D3" s="64"/>
      <c r="E3" s="64"/>
      <c r="F3" s="64"/>
      <c r="G3" s="64"/>
    </row>
    <row r="4" spans="1:8" ht="15" customHeight="1" x14ac:dyDescent="0.2">
      <c r="A4" s="5" t="s">
        <v>121</v>
      </c>
      <c r="B4" s="40" t="s">
        <v>122</v>
      </c>
      <c r="C4" s="40" t="s">
        <v>122</v>
      </c>
      <c r="D4" s="40" t="s">
        <v>122</v>
      </c>
      <c r="E4" s="40" t="s">
        <v>122</v>
      </c>
      <c r="F4" s="40" t="s">
        <v>122</v>
      </c>
      <c r="G4" s="40" t="s">
        <v>122</v>
      </c>
    </row>
    <row r="5" spans="1:8" ht="15" customHeight="1" x14ac:dyDescent="0.2">
      <c r="A5" s="5" t="s">
        <v>123</v>
      </c>
      <c r="B5" s="40" t="s">
        <v>122</v>
      </c>
      <c r="C5" s="40" t="s">
        <v>122</v>
      </c>
      <c r="D5" s="40" t="s">
        <v>122</v>
      </c>
      <c r="E5" s="40" t="s">
        <v>122</v>
      </c>
      <c r="F5" s="40" t="s">
        <v>122</v>
      </c>
      <c r="G5" s="40" t="s">
        <v>122</v>
      </c>
    </row>
    <row r="6" spans="1:8" ht="15" customHeight="1" x14ac:dyDescent="0.2">
      <c r="A6" s="5" t="s">
        <v>124</v>
      </c>
      <c r="B6" s="41" t="s">
        <v>125</v>
      </c>
      <c r="C6" s="42" t="s">
        <v>126</v>
      </c>
      <c r="D6" s="40" t="s">
        <v>122</v>
      </c>
      <c r="E6" s="40" t="s">
        <v>122</v>
      </c>
      <c r="F6" s="40" t="s">
        <v>122</v>
      </c>
      <c r="G6" s="40" t="s">
        <v>122</v>
      </c>
    </row>
    <row r="7" spans="1:8" ht="15" customHeight="1" x14ac:dyDescent="0.2">
      <c r="A7" s="5" t="s">
        <v>127</v>
      </c>
      <c r="B7" s="41" t="s">
        <v>125</v>
      </c>
      <c r="C7" s="41" t="s">
        <v>125</v>
      </c>
      <c r="D7" s="41" t="s">
        <v>125</v>
      </c>
      <c r="E7" s="40" t="s">
        <v>122</v>
      </c>
      <c r="F7" s="40" t="s">
        <v>122</v>
      </c>
      <c r="G7" s="40" t="s">
        <v>122</v>
      </c>
    </row>
    <row r="8" spans="1:8" ht="15" customHeight="1" x14ac:dyDescent="0.2">
      <c r="A8" s="5" t="s">
        <v>128</v>
      </c>
      <c r="B8" s="41" t="s">
        <v>125</v>
      </c>
      <c r="C8" s="41" t="s">
        <v>125</v>
      </c>
      <c r="D8" s="41" t="s">
        <v>125</v>
      </c>
      <c r="E8" s="41" t="s">
        <v>125</v>
      </c>
      <c r="F8" s="42" t="s">
        <v>129</v>
      </c>
      <c r="G8" s="40" t="s">
        <v>122</v>
      </c>
    </row>
    <row r="10" spans="1:8" ht="15" customHeight="1" x14ac:dyDescent="0.2">
      <c r="A10" s="64" t="s">
        <v>130</v>
      </c>
      <c r="B10" s="64"/>
      <c r="C10" s="64"/>
      <c r="D10" s="64"/>
      <c r="E10" s="64"/>
      <c r="F10" s="64"/>
      <c r="G10" s="64"/>
      <c r="H10" s="1"/>
    </row>
    <row r="11" spans="1:8" ht="15" customHeight="1" x14ac:dyDescent="0.2">
      <c r="A11" s="5" t="s">
        <v>131</v>
      </c>
      <c r="B11" s="43">
        <v>4560</v>
      </c>
      <c r="C11" s="43">
        <v>5100</v>
      </c>
      <c r="D11" s="43">
        <v>5508</v>
      </c>
      <c r="E11" s="43">
        <v>6508</v>
      </c>
      <c r="F11" s="43">
        <v>6508</v>
      </c>
      <c r="G11" s="43">
        <v>6508</v>
      </c>
      <c r="H11" s="1"/>
    </row>
    <row r="12" spans="1:8" ht="15" customHeight="1" x14ac:dyDescent="0.2">
      <c r="A12" s="5" t="s">
        <v>132</v>
      </c>
      <c r="B12" s="43">
        <v>1948</v>
      </c>
      <c r="C12" s="43">
        <v>1408</v>
      </c>
      <c r="D12" s="43">
        <v>1000</v>
      </c>
      <c r="E12" s="43">
        <v>0</v>
      </c>
      <c r="F12" s="43">
        <v>0</v>
      </c>
      <c r="G12" s="43">
        <v>0</v>
      </c>
      <c r="H12" s="1"/>
    </row>
    <row r="13" spans="1:8" ht="15" customHeight="1" x14ac:dyDescent="0.2">
      <c r="A13" s="5" t="s">
        <v>133</v>
      </c>
      <c r="B13" s="8">
        <v>1</v>
      </c>
      <c r="C13" s="8">
        <v>1</v>
      </c>
      <c r="D13" s="8">
        <v>1</v>
      </c>
      <c r="E13" s="8">
        <v>1</v>
      </c>
      <c r="F13" s="8">
        <v>1</v>
      </c>
      <c r="G13" s="8">
        <v>1</v>
      </c>
      <c r="H13" s="1"/>
    </row>
    <row r="14" spans="1:8" ht="15" customHeight="1" x14ac:dyDescent="0.2">
      <c r="A14" s="5" t="s">
        <v>134</v>
      </c>
      <c r="B14" s="44">
        <v>3</v>
      </c>
      <c r="C14" s="44">
        <v>3</v>
      </c>
      <c r="D14" s="44">
        <v>4</v>
      </c>
      <c r="E14" s="44">
        <v>4</v>
      </c>
      <c r="F14" s="44">
        <v>4</v>
      </c>
      <c r="G14" s="44">
        <v>4</v>
      </c>
      <c r="H14" s="1"/>
    </row>
    <row r="15" spans="1:8" ht="15" customHeight="1" x14ac:dyDescent="0.2">
      <c r="A15" s="5" t="s">
        <v>135</v>
      </c>
      <c r="B15" s="6">
        <v>164160</v>
      </c>
      <c r="C15" s="6">
        <v>198900</v>
      </c>
      <c r="D15" s="6">
        <v>247860</v>
      </c>
      <c r="E15" s="6">
        <v>312384</v>
      </c>
      <c r="F15" s="6">
        <v>331908</v>
      </c>
      <c r="G15" s="6">
        <v>342060</v>
      </c>
      <c r="H15" s="1"/>
    </row>
    <row r="16" spans="1:8" ht="15" customHeight="1" x14ac:dyDescent="0.2">
      <c r="A16" s="5" t="s">
        <v>81</v>
      </c>
      <c r="B16" s="6">
        <v>115000</v>
      </c>
      <c r="C16" s="6">
        <v>108000</v>
      </c>
      <c r="D16" s="6">
        <v>98000</v>
      </c>
      <c r="E16" s="6">
        <v>88000</v>
      </c>
      <c r="F16" s="6">
        <v>82000</v>
      </c>
      <c r="G16" s="6">
        <v>82000</v>
      </c>
      <c r="H16" s="1"/>
    </row>
    <row r="17" spans="1:8" ht="15" customHeight="1" x14ac:dyDescent="0.2">
      <c r="A17" s="3" t="s">
        <v>100</v>
      </c>
      <c r="B17" s="9">
        <v>49160</v>
      </c>
      <c r="C17" s="9">
        <v>90900</v>
      </c>
      <c r="D17" s="9">
        <v>149860</v>
      </c>
      <c r="E17" s="9">
        <v>224384</v>
      </c>
      <c r="F17" s="9">
        <v>249908</v>
      </c>
      <c r="G17" s="9">
        <v>260060</v>
      </c>
      <c r="H17" s="1"/>
    </row>
    <row r="18" spans="1:8" ht="15" customHeight="1" x14ac:dyDescent="0.2">
      <c r="A18" s="5" t="s">
        <v>98</v>
      </c>
      <c r="B18" s="45">
        <v>-266100</v>
      </c>
      <c r="C18" s="45">
        <v>-266100</v>
      </c>
      <c r="D18" s="45">
        <v>-266100</v>
      </c>
      <c r="E18" s="45">
        <v>-266100</v>
      </c>
      <c r="F18" s="45">
        <v>-266100</v>
      </c>
      <c r="G18" s="45">
        <v>-266100</v>
      </c>
      <c r="H18" s="1"/>
    </row>
    <row r="19" spans="1:8" ht="15" customHeight="1" x14ac:dyDescent="0.2">
      <c r="A19" s="3" t="s">
        <v>102</v>
      </c>
      <c r="B19" s="46">
        <v>-216940</v>
      </c>
      <c r="C19" s="46">
        <v>-175200</v>
      </c>
      <c r="D19" s="46">
        <v>-116240</v>
      </c>
      <c r="E19" s="46">
        <v>-41716</v>
      </c>
      <c r="F19" s="46">
        <v>-16192</v>
      </c>
      <c r="G19" s="46">
        <v>-6040</v>
      </c>
      <c r="H19" s="1"/>
    </row>
    <row r="20" spans="1:8" ht="15" customHeight="1" x14ac:dyDescent="0.2">
      <c r="A20" s="5" t="s">
        <v>136</v>
      </c>
      <c r="B20" s="47">
        <v>-216940</v>
      </c>
      <c r="C20" s="47">
        <v>-392140</v>
      </c>
      <c r="D20" s="47">
        <v>-508380</v>
      </c>
      <c r="E20" s="47">
        <v>-550096</v>
      </c>
      <c r="F20" s="47">
        <v>-566288</v>
      </c>
      <c r="G20" s="47">
        <v>-572328</v>
      </c>
      <c r="H20" s="1"/>
    </row>
    <row r="21" spans="1:8" ht="15" customHeight="1" x14ac:dyDescent="0.2">
      <c r="A21" s="1"/>
      <c r="B21" s="1"/>
      <c r="C21" s="1"/>
      <c r="D21" s="1"/>
      <c r="E21" s="1"/>
      <c r="F21" s="1"/>
      <c r="G21" s="1"/>
      <c r="H21" s="1"/>
    </row>
    <row r="22" spans="1:8" ht="27.75" customHeight="1" x14ac:dyDescent="0.2">
      <c r="A22" s="69" t="s">
        <v>137</v>
      </c>
      <c r="B22" s="69"/>
      <c r="C22" s="69"/>
      <c r="D22" s="69"/>
      <c r="E22" s="69"/>
      <c r="F22" s="69"/>
      <c r="G22" s="69"/>
      <c r="H22" s="1"/>
    </row>
    <row r="23" spans="1:8" ht="15" customHeight="1" x14ac:dyDescent="0.2">
      <c r="A23" s="1"/>
      <c r="B23" s="1"/>
      <c r="C23" s="1"/>
      <c r="D23" s="1"/>
      <c r="E23" s="1"/>
      <c r="F23" s="1"/>
      <c r="G23" s="1"/>
      <c r="H23" s="1"/>
    </row>
    <row r="24" spans="1:8" ht="15" customHeight="1" x14ac:dyDescent="0.2">
      <c r="A24" s="1"/>
      <c r="B24" s="1"/>
      <c r="C24" s="1"/>
      <c r="D24" s="1"/>
      <c r="E24" s="1"/>
      <c r="F24" s="1"/>
      <c r="G24" s="1"/>
      <c r="H24" s="1"/>
    </row>
    <row r="25" spans="1:8" ht="15" customHeight="1" x14ac:dyDescent="0.2">
      <c r="A25" s="1"/>
      <c r="B25" s="1"/>
      <c r="C25" s="1"/>
      <c r="D25" s="1"/>
      <c r="E25" s="1"/>
      <c r="F25" s="1"/>
      <c r="G25" s="1"/>
      <c r="H25" s="1"/>
    </row>
  </sheetData>
  <mergeCells count="4">
    <mergeCell ref="A1:G1"/>
    <mergeCell ref="A3:G3"/>
    <mergeCell ref="A10:G10"/>
    <mergeCell ref="A22:G22"/>
  </mergeCells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1"/>
  <sheetViews>
    <sheetView zoomScaleNormal="100" workbookViewId="0">
      <selection activeCell="A3" sqref="A3"/>
    </sheetView>
  </sheetViews>
  <sheetFormatPr baseColWidth="10" defaultColWidth="8.6640625" defaultRowHeight="15" x14ac:dyDescent="0.2"/>
  <cols>
    <col min="1" max="1" width="26" customWidth="1"/>
    <col min="2" max="2" width="20" customWidth="1"/>
    <col min="3" max="3" width="10" customWidth="1"/>
    <col min="4" max="5" width="14" customWidth="1"/>
    <col min="6" max="6" width="12" customWidth="1"/>
    <col min="7" max="7" width="22" customWidth="1"/>
  </cols>
  <sheetData>
    <row r="1" spans="1:7" ht="24" customHeight="1" x14ac:dyDescent="0.2">
      <c r="A1" s="68" t="s">
        <v>138</v>
      </c>
      <c r="B1" s="68"/>
      <c r="C1" s="68"/>
      <c r="D1" s="68"/>
      <c r="E1" s="68"/>
      <c r="F1" s="68"/>
      <c r="G1" s="68"/>
    </row>
    <row r="2" spans="1:7" ht="27.75" customHeight="1" x14ac:dyDescent="0.2">
      <c r="A2" s="70" t="s">
        <v>139</v>
      </c>
      <c r="B2" s="70"/>
      <c r="C2" s="70"/>
      <c r="D2" s="70"/>
      <c r="E2" s="70"/>
      <c r="F2" s="70"/>
      <c r="G2" s="70"/>
    </row>
    <row r="3" spans="1:7" ht="26.25" customHeight="1" x14ac:dyDescent="0.2">
      <c r="A3" s="39" t="s">
        <v>140</v>
      </c>
      <c r="B3" s="39" t="s">
        <v>141</v>
      </c>
      <c r="C3" s="39" t="s">
        <v>142</v>
      </c>
      <c r="D3" s="39" t="s">
        <v>143</v>
      </c>
      <c r="E3" s="39" t="s">
        <v>144</v>
      </c>
      <c r="F3" s="39" t="s">
        <v>145</v>
      </c>
      <c r="G3" s="39" t="s">
        <v>40</v>
      </c>
    </row>
    <row r="4" spans="1:7" ht="15" customHeight="1" x14ac:dyDescent="0.2">
      <c r="A4" s="48" t="s">
        <v>146</v>
      </c>
      <c r="B4" s="48" t="s">
        <v>147</v>
      </c>
      <c r="C4" s="49"/>
      <c r="D4" s="50"/>
      <c r="E4" s="48" t="s">
        <v>148</v>
      </c>
      <c r="F4" s="48" t="s">
        <v>149</v>
      </c>
      <c r="G4" s="48" t="s">
        <v>150</v>
      </c>
    </row>
    <row r="5" spans="1:7" ht="15" customHeight="1" x14ac:dyDescent="0.2">
      <c r="A5" s="48" t="s">
        <v>151</v>
      </c>
      <c r="B5" s="48" t="s">
        <v>147</v>
      </c>
      <c r="C5" s="49"/>
      <c r="D5" s="50"/>
      <c r="E5" s="48" t="s">
        <v>148</v>
      </c>
      <c r="F5" s="48" t="s">
        <v>149</v>
      </c>
      <c r="G5" s="51"/>
    </row>
    <row r="6" spans="1:7" ht="15" customHeight="1" x14ac:dyDescent="0.2">
      <c r="A6" s="48" t="s">
        <v>152</v>
      </c>
      <c r="B6" s="48" t="s">
        <v>147</v>
      </c>
      <c r="C6" s="49"/>
      <c r="D6" s="50"/>
      <c r="E6" s="48" t="s">
        <v>148</v>
      </c>
      <c r="F6" s="48" t="s">
        <v>149</v>
      </c>
      <c r="G6" s="51"/>
    </row>
    <row r="7" spans="1:7" ht="15" customHeight="1" x14ac:dyDescent="0.2">
      <c r="A7" s="48" t="s">
        <v>153</v>
      </c>
      <c r="B7" s="48" t="s">
        <v>147</v>
      </c>
      <c r="C7" s="49"/>
      <c r="D7" s="50"/>
      <c r="E7" s="48" t="s">
        <v>148</v>
      </c>
      <c r="F7" s="48" t="s">
        <v>149</v>
      </c>
      <c r="G7" s="51"/>
    </row>
    <row r="8" spans="1:7" ht="15" customHeight="1" x14ac:dyDescent="0.2">
      <c r="A8" s="48" t="s">
        <v>154</v>
      </c>
      <c r="B8" s="48" t="s">
        <v>147</v>
      </c>
      <c r="C8" s="49"/>
      <c r="D8" s="50"/>
      <c r="E8" s="48" t="s">
        <v>148</v>
      </c>
      <c r="F8" s="48" t="s">
        <v>149</v>
      </c>
      <c r="G8" s="51"/>
    </row>
    <row r="9" spans="1:7" ht="15" customHeight="1" x14ac:dyDescent="0.2">
      <c r="A9" s="3" t="s">
        <v>155</v>
      </c>
      <c r="D9" s="52" t="str">
        <f>IFERROR(AVERAGE(D4:D8),"")</f>
        <v/>
      </c>
      <c r="E9" s="71" t="s">
        <v>156</v>
      </c>
      <c r="F9" s="71"/>
      <c r="G9" s="71"/>
    </row>
    <row r="11" spans="1:7" ht="15" customHeight="1" x14ac:dyDescent="0.2">
      <c r="A11" s="72" t="s">
        <v>157</v>
      </c>
      <c r="B11" s="72"/>
      <c r="C11" s="72"/>
      <c r="D11" s="72"/>
      <c r="E11" s="72"/>
      <c r="F11" s="72"/>
      <c r="G11" s="72"/>
    </row>
  </sheetData>
  <mergeCells count="4">
    <mergeCell ref="A1:G1"/>
    <mergeCell ref="A2:G2"/>
    <mergeCell ref="E9:G9"/>
    <mergeCell ref="A11:G11"/>
  </mergeCells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0"/>
  <sheetViews>
    <sheetView zoomScale="162" zoomScaleNormal="120" workbookViewId="0">
      <selection activeCell="C12" sqref="C12"/>
    </sheetView>
  </sheetViews>
  <sheetFormatPr baseColWidth="10" defaultColWidth="8.6640625" defaultRowHeight="15" x14ac:dyDescent="0.2"/>
  <cols>
    <col min="1" max="1" width="30" customWidth="1"/>
    <col min="2" max="7" width="13" customWidth="1"/>
  </cols>
  <sheetData>
    <row r="1" spans="1:8" ht="24" customHeight="1" x14ac:dyDescent="0.2">
      <c r="A1" s="68" t="s">
        <v>158</v>
      </c>
      <c r="B1" s="68"/>
      <c r="C1" s="68"/>
      <c r="D1" s="68"/>
      <c r="E1" s="68"/>
      <c r="F1" s="68"/>
      <c r="G1" s="68"/>
    </row>
    <row r="2" spans="1:8" ht="30" customHeight="1" x14ac:dyDescent="0.2">
      <c r="B2" s="39" t="s">
        <v>159</v>
      </c>
      <c r="C2" s="39" t="s">
        <v>160</v>
      </c>
      <c r="D2" s="39" t="s">
        <v>161</v>
      </c>
      <c r="E2" s="39" t="s">
        <v>162</v>
      </c>
      <c r="F2" s="39" t="s">
        <v>163</v>
      </c>
      <c r="G2" s="39" t="s">
        <v>164</v>
      </c>
    </row>
    <row r="3" spans="1:8" ht="15" customHeight="1" x14ac:dyDescent="0.2">
      <c r="A3" s="64" t="s">
        <v>165</v>
      </c>
      <c r="B3" s="64"/>
      <c r="C3" s="64"/>
      <c r="D3" s="64"/>
      <c r="E3" s="64"/>
      <c r="F3" s="64"/>
      <c r="G3" s="64"/>
      <c r="H3" s="1"/>
    </row>
    <row r="4" spans="1:8" ht="15" customHeight="1" x14ac:dyDescent="0.2">
      <c r="A4" s="5" t="s">
        <v>166</v>
      </c>
      <c r="B4" s="35">
        <v>5.5E-2</v>
      </c>
      <c r="C4" s="73"/>
      <c r="D4" s="73"/>
      <c r="E4" s="73"/>
      <c r="F4" s="73"/>
      <c r="G4" s="73"/>
      <c r="H4" s="1"/>
    </row>
    <row r="5" spans="1:8" ht="15" customHeight="1" x14ac:dyDescent="0.2">
      <c r="A5" s="5" t="s">
        <v>167</v>
      </c>
      <c r="B5" s="35">
        <v>0.03</v>
      </c>
      <c r="C5" s="73"/>
      <c r="D5" s="73"/>
      <c r="E5" s="73"/>
      <c r="F5" s="73"/>
      <c r="G5" s="73"/>
      <c r="H5" s="1"/>
    </row>
    <row r="6" spans="1:8" ht="15" customHeight="1" x14ac:dyDescent="0.2">
      <c r="A6" s="5" t="s">
        <v>168</v>
      </c>
      <c r="B6" s="16">
        <v>3050000</v>
      </c>
      <c r="C6" s="73"/>
      <c r="D6" s="73"/>
      <c r="E6" s="73"/>
      <c r="F6" s="73"/>
      <c r="G6" s="73"/>
      <c r="H6" s="1"/>
    </row>
    <row r="7" spans="1:8" ht="15" customHeight="1" x14ac:dyDescent="0.2">
      <c r="A7" s="5" t="s">
        <v>169</v>
      </c>
      <c r="B7" s="16">
        <v>1875000</v>
      </c>
      <c r="C7" s="73"/>
      <c r="D7" s="73"/>
      <c r="E7" s="73"/>
      <c r="F7" s="73"/>
      <c r="G7" s="73"/>
      <c r="H7" s="1"/>
    </row>
    <row r="8" spans="1:8" ht="15" customHeight="1" x14ac:dyDescent="0.2">
      <c r="A8" s="1"/>
      <c r="B8" s="1"/>
      <c r="C8" s="1"/>
      <c r="D8" s="1"/>
      <c r="E8" s="1"/>
      <c r="F8" s="1"/>
      <c r="G8" s="1"/>
      <c r="H8" s="1"/>
    </row>
    <row r="9" spans="1:8" ht="15" customHeight="1" x14ac:dyDescent="0.2">
      <c r="A9" s="64" t="s">
        <v>170</v>
      </c>
      <c r="B9" s="64"/>
      <c r="C9" s="64"/>
      <c r="D9" s="64"/>
      <c r="E9" s="64"/>
      <c r="F9" s="64"/>
      <c r="G9" s="64"/>
      <c r="H9" s="1"/>
    </row>
    <row r="10" spans="1:8" ht="15" customHeight="1" x14ac:dyDescent="0.2">
      <c r="A10" s="5" t="s">
        <v>171</v>
      </c>
      <c r="B10" s="53" t="s">
        <v>172</v>
      </c>
      <c r="C10" s="25">
        <f>'Lease-Up Timeline'!C17</f>
        <v>90900</v>
      </c>
      <c r="D10" s="25">
        <f>'Lease-Up Timeline'!D17</f>
        <v>149860</v>
      </c>
      <c r="E10" s="25">
        <f>'Lease-Up Timeline'!E17</f>
        <v>224384</v>
      </c>
      <c r="F10" s="25">
        <f>'Lease-Up Timeline'!F17</f>
        <v>249908</v>
      </c>
      <c r="G10" s="25">
        <f>'Lease-Up Timeline'!G17</f>
        <v>260060</v>
      </c>
      <c r="H10" s="1"/>
    </row>
    <row r="11" spans="1:8" ht="15" customHeight="1" x14ac:dyDescent="0.2">
      <c r="A11" s="5" t="s">
        <v>173</v>
      </c>
      <c r="B11" s="53" t="s">
        <v>172</v>
      </c>
      <c r="C11" s="25">
        <f>'Lease-Up Timeline'!C18</f>
        <v>-266100</v>
      </c>
      <c r="D11" s="25">
        <f>'Lease-Up Timeline'!D18</f>
        <v>-266100</v>
      </c>
      <c r="E11" s="25">
        <f>'Lease-Up Timeline'!E18</f>
        <v>-266100</v>
      </c>
      <c r="F11" s="25">
        <f>'Lease-Up Timeline'!F18</f>
        <v>-266100</v>
      </c>
      <c r="G11" s="25">
        <f>'Lease-Up Timeline'!G18</f>
        <v>-266100</v>
      </c>
      <c r="H11" s="1"/>
    </row>
    <row r="12" spans="1:8" ht="15" customHeight="1" x14ac:dyDescent="0.2">
      <c r="A12" s="3" t="s">
        <v>102</v>
      </c>
      <c r="B12" s="53" t="s">
        <v>172</v>
      </c>
      <c r="C12" s="54">
        <f>'Lease-Up Timeline'!C19</f>
        <v>-175200</v>
      </c>
      <c r="D12" s="54">
        <f>'Lease-Up Timeline'!D19</f>
        <v>-116240</v>
      </c>
      <c r="E12" s="54">
        <f>'Lease-Up Timeline'!E19</f>
        <v>-41716</v>
      </c>
      <c r="F12" s="54">
        <f>'Lease-Up Timeline'!F19</f>
        <v>-16192</v>
      </c>
      <c r="G12" s="54">
        <f>'Lease-Up Timeline'!G19</f>
        <v>-6040</v>
      </c>
      <c r="H12" s="1"/>
    </row>
    <row r="13" spans="1:8" ht="15" customHeight="1" x14ac:dyDescent="0.2">
      <c r="A13" s="5" t="s">
        <v>174</v>
      </c>
      <c r="B13" s="53" t="s">
        <v>172</v>
      </c>
      <c r="C13" s="55">
        <f>'Lease-Up Timeline'!C17/Assumptions!$B$5</f>
        <v>1.8180000000000002E-2</v>
      </c>
      <c r="D13" s="55">
        <f>'Lease-Up Timeline'!D17/Assumptions!$B$5</f>
        <v>2.9971999999999999E-2</v>
      </c>
      <c r="E13" s="55">
        <f>'Lease-Up Timeline'!E17/Assumptions!$B$5</f>
        <v>4.4876800000000001E-2</v>
      </c>
      <c r="F13" s="55">
        <f>'Lease-Up Timeline'!F17/Assumptions!$B$5</f>
        <v>4.9981600000000001E-2</v>
      </c>
      <c r="G13" s="55">
        <f>'Lease-Up Timeline'!G17/Assumptions!$B$5</f>
        <v>5.2012000000000003E-2</v>
      </c>
      <c r="H13" s="1"/>
    </row>
    <row r="14" spans="1:8" ht="15" customHeight="1" x14ac:dyDescent="0.2">
      <c r="A14" s="1"/>
      <c r="B14" s="1"/>
      <c r="C14" s="1"/>
      <c r="D14" s="1"/>
      <c r="E14" s="1"/>
      <c r="F14" s="1"/>
      <c r="G14" s="1"/>
      <c r="H14" s="1"/>
    </row>
    <row r="15" spans="1:8" ht="15" customHeight="1" x14ac:dyDescent="0.2">
      <c r="A15" s="64" t="s">
        <v>175</v>
      </c>
      <c r="B15" s="64"/>
      <c r="C15" s="64"/>
      <c r="D15" s="64"/>
      <c r="E15" s="64"/>
      <c r="F15" s="64"/>
      <c r="G15" s="64"/>
      <c r="H15" s="1"/>
    </row>
    <row r="16" spans="1:8" ht="15" customHeight="1" x14ac:dyDescent="0.2">
      <c r="A16" s="5" t="s">
        <v>176</v>
      </c>
      <c r="B16" s="56"/>
      <c r="C16" s="56"/>
      <c r="D16" s="56"/>
      <c r="E16" s="56"/>
      <c r="F16" s="56"/>
      <c r="G16" s="25">
        <f>'Lease-Up Timeline'!G17</f>
        <v>260060</v>
      </c>
      <c r="H16" s="1"/>
    </row>
    <row r="17" spans="1:8" ht="15" customHeight="1" x14ac:dyDescent="0.2">
      <c r="A17" s="3" t="s">
        <v>177</v>
      </c>
      <c r="B17" s="56"/>
      <c r="C17" s="56"/>
      <c r="D17" s="56"/>
      <c r="E17" s="56"/>
      <c r="F17" s="56"/>
      <c r="G17" s="57">
        <f>G16/B4</f>
        <v>4728363.6363636367</v>
      </c>
      <c r="H17" s="1"/>
    </row>
    <row r="18" spans="1:8" ht="15" customHeight="1" x14ac:dyDescent="0.2">
      <c r="A18" s="5" t="s">
        <v>178</v>
      </c>
      <c r="B18" s="56"/>
      <c r="C18" s="56"/>
      <c r="D18" s="56"/>
      <c r="E18" s="56"/>
      <c r="F18" s="56"/>
      <c r="G18" s="25">
        <f>-G16*B5</f>
        <v>-7801.7999999999993</v>
      </c>
      <c r="H18" s="1"/>
    </row>
    <row r="19" spans="1:8" ht="15" customHeight="1" x14ac:dyDescent="0.2">
      <c r="A19" s="5" t="s">
        <v>179</v>
      </c>
      <c r="B19" s="56"/>
      <c r="C19" s="56"/>
      <c r="D19" s="56"/>
      <c r="E19" s="56"/>
      <c r="F19" s="56"/>
      <c r="G19" s="25">
        <f>G17+G18</f>
        <v>4720561.8363636369</v>
      </c>
      <c r="H19" s="1"/>
    </row>
    <row r="20" spans="1:8" ht="15" customHeight="1" x14ac:dyDescent="0.2">
      <c r="A20" s="5" t="s">
        <v>180</v>
      </c>
      <c r="B20" s="56"/>
      <c r="C20" s="56"/>
      <c r="D20" s="56"/>
      <c r="E20" s="56"/>
      <c r="F20" s="56"/>
      <c r="G20" s="25">
        <f>-B6</f>
        <v>-3050000</v>
      </c>
      <c r="H20" s="1"/>
    </row>
    <row r="21" spans="1:8" ht="15" customHeight="1" x14ac:dyDescent="0.2">
      <c r="A21" s="3" t="s">
        <v>181</v>
      </c>
      <c r="B21" s="56"/>
      <c r="C21" s="56"/>
      <c r="D21" s="56"/>
      <c r="E21" s="56"/>
      <c r="F21" s="56"/>
      <c r="G21" s="57">
        <f>G19+G20</f>
        <v>1670561.8363636369</v>
      </c>
      <c r="H21" s="1"/>
    </row>
    <row r="22" spans="1:8" ht="15" customHeight="1" x14ac:dyDescent="0.2">
      <c r="A22" s="1"/>
      <c r="B22" s="1"/>
      <c r="C22" s="1"/>
      <c r="D22" s="1"/>
      <c r="E22" s="1"/>
      <c r="F22" s="1"/>
      <c r="G22" s="1"/>
      <c r="H22" s="1"/>
    </row>
    <row r="23" spans="1:8" ht="15" customHeight="1" x14ac:dyDescent="0.2">
      <c r="A23" s="64" t="s">
        <v>182</v>
      </c>
      <c r="B23" s="64"/>
      <c r="C23" s="64"/>
      <c r="D23" s="64"/>
      <c r="E23" s="64"/>
      <c r="F23" s="64"/>
      <c r="G23" s="64"/>
      <c r="H23" s="1"/>
    </row>
    <row r="24" spans="1:8" ht="15" customHeight="1" x14ac:dyDescent="0.2">
      <c r="A24" s="3" t="s">
        <v>183</v>
      </c>
      <c r="B24" s="54">
        <f>-B7</f>
        <v>-1875000</v>
      </c>
      <c r="C24" s="1"/>
      <c r="D24" s="1"/>
      <c r="E24" s="1"/>
      <c r="F24" s="1"/>
      <c r="G24" s="1"/>
      <c r="H24" s="1"/>
    </row>
    <row r="25" spans="1:8" ht="15" customHeight="1" x14ac:dyDescent="0.2">
      <c r="A25" s="5" t="s">
        <v>184</v>
      </c>
      <c r="B25" s="1"/>
      <c r="C25" s="25">
        <f>C12</f>
        <v>-175200</v>
      </c>
      <c r="D25" s="25">
        <f>D12</f>
        <v>-116240</v>
      </c>
      <c r="E25" s="25">
        <f>E12</f>
        <v>-41716</v>
      </c>
      <c r="F25" s="25">
        <f>F12</f>
        <v>-16192</v>
      </c>
      <c r="G25" s="25">
        <f>G12</f>
        <v>-6040</v>
      </c>
      <c r="H25" s="1"/>
    </row>
    <row r="26" spans="1:8" ht="15" customHeight="1" x14ac:dyDescent="0.2">
      <c r="A26" s="5" t="s">
        <v>185</v>
      </c>
      <c r="B26" s="1"/>
      <c r="C26" s="1"/>
      <c r="D26" s="1"/>
      <c r="E26" s="1"/>
      <c r="F26" s="1"/>
      <c r="G26" s="25">
        <f>G21</f>
        <v>1670561.8363636369</v>
      </c>
      <c r="H26" s="1"/>
    </row>
    <row r="27" spans="1:8" ht="15" customHeight="1" x14ac:dyDescent="0.2">
      <c r="A27" s="3" t="s">
        <v>186</v>
      </c>
      <c r="B27" s="29">
        <f>B24</f>
        <v>-1875000</v>
      </c>
      <c r="C27" s="29">
        <f>C25</f>
        <v>-175200</v>
      </c>
      <c r="D27" s="29">
        <f>D25</f>
        <v>-116240</v>
      </c>
      <c r="E27" s="29">
        <f>E25</f>
        <v>-41716</v>
      </c>
      <c r="F27" s="29">
        <f>F25</f>
        <v>-16192</v>
      </c>
      <c r="G27" s="29">
        <f>G25+G26</f>
        <v>1664521.8363636369</v>
      </c>
      <c r="H27" s="1"/>
    </row>
    <row r="28" spans="1:8" ht="15" customHeight="1" x14ac:dyDescent="0.2">
      <c r="A28" s="1"/>
      <c r="B28" s="1"/>
      <c r="C28" s="1"/>
      <c r="D28" s="1"/>
      <c r="E28" s="1"/>
      <c r="F28" s="1"/>
      <c r="G28" s="1"/>
      <c r="H28" s="1"/>
    </row>
    <row r="29" spans="1:8" ht="15" customHeight="1" x14ac:dyDescent="0.2">
      <c r="A29" s="1"/>
      <c r="B29" s="1"/>
      <c r="C29" s="1"/>
      <c r="D29" s="1"/>
      <c r="E29" s="1"/>
      <c r="F29" s="1"/>
      <c r="G29" s="1"/>
      <c r="H29" s="1"/>
    </row>
    <row r="30" spans="1:8" ht="15" customHeight="1" x14ac:dyDescent="0.2">
      <c r="A30" s="64" t="s">
        <v>187</v>
      </c>
      <c r="B30" s="64"/>
      <c r="C30" s="64"/>
      <c r="D30" s="64"/>
      <c r="E30" s="64"/>
      <c r="F30" s="64"/>
      <c r="G30" s="64"/>
      <c r="H30" s="1"/>
    </row>
    <row r="31" spans="1:8" ht="15" customHeight="1" x14ac:dyDescent="0.2">
      <c r="A31" s="5" t="s">
        <v>188</v>
      </c>
      <c r="B31" s="1"/>
      <c r="C31" s="25">
        <f>-B24</f>
        <v>1875000</v>
      </c>
      <c r="D31" s="1"/>
      <c r="E31" s="1"/>
      <c r="F31" s="1"/>
      <c r="G31" s="1"/>
      <c r="H31" s="1"/>
    </row>
    <row r="32" spans="1:8" ht="15" customHeight="1" x14ac:dyDescent="0.2">
      <c r="A32" s="5" t="s">
        <v>189</v>
      </c>
      <c r="B32" s="1"/>
      <c r="C32" s="25">
        <f>G26+SUM(C25:G25)</f>
        <v>1315173.8363636369</v>
      </c>
      <c r="D32" s="1"/>
      <c r="E32" s="1"/>
      <c r="F32" s="1"/>
      <c r="G32" s="1"/>
      <c r="H32" s="1"/>
    </row>
    <row r="33" spans="1:8" ht="15" customHeight="1" x14ac:dyDescent="0.2">
      <c r="A33" s="3" t="s">
        <v>190</v>
      </c>
      <c r="B33" s="1"/>
      <c r="C33" s="58">
        <f>IFERROR(IRR(B27:G27,0.1),"")</f>
        <v>-5.9634588603371008E-2</v>
      </c>
      <c r="D33" s="1"/>
      <c r="E33" s="1"/>
      <c r="F33" s="1"/>
      <c r="G33" s="1"/>
      <c r="H33" s="1"/>
    </row>
    <row r="34" spans="1:8" ht="15" customHeight="1" x14ac:dyDescent="0.2">
      <c r="A34" s="3" t="s">
        <v>191</v>
      </c>
      <c r="B34" s="1"/>
      <c r="C34" s="59">
        <f>IFERROR(C32/C31,"")</f>
        <v>0.70142604606060632</v>
      </c>
      <c r="D34" s="1"/>
      <c r="E34" s="1"/>
      <c r="F34" s="1"/>
      <c r="G34" s="1"/>
      <c r="H34" s="1"/>
    </row>
    <row r="35" spans="1:8" ht="15" customHeight="1" x14ac:dyDescent="0.2">
      <c r="A35" s="5" t="s">
        <v>12</v>
      </c>
      <c r="B35" s="1"/>
      <c r="C35" s="30">
        <f>'Lease-Up Timeline'!B17/Assumptions!B5</f>
        <v>9.8320000000000005E-3</v>
      </c>
      <c r="D35" s="1"/>
      <c r="E35" s="1"/>
      <c r="F35" s="1"/>
      <c r="G35" s="1"/>
      <c r="H35" s="1"/>
    </row>
    <row r="36" spans="1:8" ht="15" customHeight="1" x14ac:dyDescent="0.2">
      <c r="A36" s="5" t="s">
        <v>192</v>
      </c>
      <c r="B36" s="1"/>
      <c r="C36" s="30">
        <f>B4</f>
        <v>5.5E-2</v>
      </c>
      <c r="D36" s="1"/>
      <c r="E36" s="1"/>
      <c r="F36" s="1"/>
      <c r="G36" s="1"/>
      <c r="H36" s="1"/>
    </row>
    <row r="37" spans="1:8" ht="15" customHeight="1" x14ac:dyDescent="0.2">
      <c r="A37" s="1"/>
      <c r="B37" s="1"/>
      <c r="C37" s="1"/>
      <c r="D37" s="1"/>
      <c r="E37" s="1"/>
      <c r="F37" s="1"/>
      <c r="G37" s="1"/>
      <c r="H37" s="1"/>
    </row>
    <row r="38" spans="1:8" ht="36" customHeight="1" x14ac:dyDescent="0.2">
      <c r="A38" s="69"/>
      <c r="B38" s="69"/>
      <c r="C38" s="69"/>
      <c r="D38" s="69"/>
      <c r="E38" s="69"/>
      <c r="F38" s="69"/>
      <c r="G38" s="69"/>
      <c r="H38" s="1"/>
    </row>
    <row r="39" spans="1:8" ht="15" customHeight="1" x14ac:dyDescent="0.2">
      <c r="A39" s="1"/>
      <c r="B39" s="1"/>
      <c r="C39" s="1"/>
      <c r="D39" s="1"/>
      <c r="E39" s="1"/>
      <c r="F39" s="1"/>
      <c r="G39" s="1"/>
      <c r="H39" s="1"/>
    </row>
    <row r="40" spans="1:8" ht="15" customHeight="1" x14ac:dyDescent="0.2">
      <c r="A40" s="1"/>
      <c r="B40" s="1"/>
      <c r="C40" s="1"/>
      <c r="D40" s="1"/>
      <c r="E40" s="1"/>
      <c r="F40" s="1"/>
      <c r="G40" s="1"/>
      <c r="H40" s="1"/>
    </row>
  </sheetData>
  <mergeCells count="11">
    <mergeCell ref="A38:G38"/>
    <mergeCell ref="C7:G7"/>
    <mergeCell ref="A9:G9"/>
    <mergeCell ref="A15:G15"/>
    <mergeCell ref="A23:G23"/>
    <mergeCell ref="A30:G30"/>
    <mergeCell ref="A1:G1"/>
    <mergeCell ref="A3:G3"/>
    <mergeCell ref="C4:G4"/>
    <mergeCell ref="C5:G5"/>
    <mergeCell ref="C6:G6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</vt:lpstr>
      <vt:lpstr>Assumptions</vt:lpstr>
      <vt:lpstr>Cash Flow</vt:lpstr>
      <vt:lpstr>Scenarios</vt:lpstr>
      <vt:lpstr>Lease-Up Timeline</vt:lpstr>
      <vt:lpstr>Rent Comps</vt:lpstr>
      <vt:lpstr>IRR Model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Paul Esajian</cp:lastModifiedBy>
  <cp:revision>0</cp:revision>
  <dcterms:created xsi:type="dcterms:W3CDTF">2026-05-18T16:16:48Z</dcterms:created>
  <dcterms:modified xsi:type="dcterms:W3CDTF">2026-06-03T23:03:19Z</dcterms:modified>
  <dc:language>en-US</dc:language>
</cp:coreProperties>
</file>